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maka/Downloads/"/>
    </mc:Choice>
  </mc:AlternateContent>
  <xr:revisionPtr revIDLastSave="0" documentId="8_{475C3EFD-1586-1940-B870-CDB9A9794589}" xr6:coauthVersionLast="47" xr6:coauthVersionMax="47" xr10:uidLastSave="{00000000-0000-0000-0000-000000000000}"/>
  <bookViews>
    <workbookView xWindow="0" yWindow="0" windowWidth="28800" windowHeight="18000" activeTab="4" xr2:uid="{223B54B5-D337-164F-B614-6DFCA91D40FC}"/>
  </bookViews>
  <sheets>
    <sheet name="9.3" sheetId="1" r:id="rId1"/>
    <sheet name="9.4" sheetId="2" r:id="rId2"/>
    <sheet name="9.9" sheetId="3" r:id="rId3"/>
    <sheet name="9.10" sheetId="4" r:id="rId4"/>
    <sheet name="9.12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E30" i="5"/>
  <c r="G28" i="5"/>
  <c r="D28" i="5"/>
  <c r="G27" i="5"/>
  <c r="E23" i="5"/>
  <c r="E21" i="5"/>
  <c r="E20" i="5"/>
  <c r="E19" i="5"/>
  <c r="E17" i="5"/>
  <c r="E14" i="5"/>
  <c r="C16" i="5"/>
  <c r="C15" i="5"/>
  <c r="E13" i="5"/>
  <c r="E5" i="5"/>
  <c r="E41" i="3"/>
  <c r="D41" i="3"/>
  <c r="C41" i="3"/>
  <c r="E38" i="3"/>
  <c r="C38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C36" i="3"/>
  <c r="E32" i="3"/>
  <c r="C32" i="3"/>
  <c r="D30" i="3"/>
  <c r="E30" i="3"/>
  <c r="F30" i="3"/>
  <c r="G30" i="3"/>
  <c r="C30" i="3"/>
  <c r="E26" i="3"/>
  <c r="C26" i="3"/>
  <c r="D24" i="3"/>
  <c r="E24" i="3"/>
  <c r="F24" i="3"/>
  <c r="G24" i="3"/>
  <c r="H24" i="3"/>
  <c r="I24" i="3"/>
  <c r="J24" i="3"/>
  <c r="K24" i="3"/>
  <c r="L24" i="3"/>
  <c r="M24" i="3"/>
  <c r="C24" i="3"/>
  <c r="D23" i="3"/>
  <c r="C23" i="3"/>
  <c r="E13" i="3"/>
  <c r="D13" i="3"/>
  <c r="C18" i="3"/>
  <c r="C13" i="3"/>
  <c r="D16" i="3"/>
  <c r="C16" i="3"/>
  <c r="C1" i="3"/>
  <c r="E9" i="3"/>
  <c r="D9" i="3"/>
  <c r="C9" i="3"/>
  <c r="F31" i="2"/>
  <c r="F29" i="2"/>
  <c r="C31" i="2"/>
  <c r="J37" i="2"/>
  <c r="E36" i="2"/>
  <c r="F36" i="2"/>
  <c r="G36" i="2"/>
  <c r="H36" i="2"/>
  <c r="I36" i="2"/>
  <c r="D36" i="2"/>
  <c r="D37" i="2" s="1"/>
  <c r="E35" i="2"/>
  <c r="F35" i="2"/>
  <c r="G35" i="2"/>
  <c r="H35" i="2"/>
  <c r="I35" i="2"/>
  <c r="D35" i="2"/>
  <c r="G37" i="2"/>
  <c r="F37" i="2"/>
  <c r="E37" i="2"/>
  <c r="C28" i="2"/>
  <c r="J24" i="2"/>
  <c r="J22" i="2"/>
  <c r="E22" i="2"/>
  <c r="F22" i="2"/>
  <c r="G22" i="2"/>
  <c r="H22" i="2"/>
  <c r="I22" i="2"/>
  <c r="D22" i="2"/>
  <c r="E21" i="2"/>
  <c r="F21" i="2"/>
  <c r="G21" i="2"/>
  <c r="H21" i="2"/>
  <c r="I21" i="2"/>
  <c r="D21" i="2"/>
  <c r="E20" i="2"/>
  <c r="D20" i="2"/>
  <c r="J3" i="2"/>
  <c r="H3" i="2"/>
  <c r="E13" i="2"/>
  <c r="D13" i="2"/>
  <c r="C13" i="2"/>
  <c r="F35" i="1"/>
  <c r="C45" i="1"/>
  <c r="D42" i="1"/>
  <c r="E42" i="1"/>
  <c r="F42" i="1"/>
  <c r="G42" i="1"/>
  <c r="H42" i="1"/>
  <c r="H43" i="1" s="1"/>
  <c r="I42" i="1"/>
  <c r="I43" i="1" s="1"/>
  <c r="J42" i="1"/>
  <c r="J43" i="1" s="1"/>
  <c r="K42" i="1"/>
  <c r="K43" i="1" s="1"/>
  <c r="L42" i="1"/>
  <c r="M42" i="1"/>
  <c r="C42" i="1"/>
  <c r="G43" i="1"/>
  <c r="F43" i="1"/>
  <c r="C43" i="1"/>
  <c r="M43" i="1"/>
  <c r="L43" i="1"/>
  <c r="E43" i="1"/>
  <c r="D43" i="1"/>
  <c r="C28" i="1"/>
  <c r="D28" i="1"/>
  <c r="C26" i="1"/>
  <c r="C19" i="1"/>
  <c r="C24" i="1"/>
  <c r="C23" i="1"/>
  <c r="K24" i="1"/>
  <c r="L24" i="1"/>
  <c r="E23" i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K23" i="1"/>
  <c r="L23" i="1"/>
  <c r="M23" i="1"/>
  <c r="M24" i="1" s="1"/>
  <c r="D23" i="1"/>
  <c r="D24" i="1" s="1"/>
  <c r="D17" i="1"/>
  <c r="D15" i="1"/>
  <c r="F11" i="1"/>
  <c r="I37" i="2" l="1"/>
  <c r="H37" i="2"/>
</calcChain>
</file>

<file path=xl/sharedStrings.xml><?xml version="1.0" encoding="utf-8"?>
<sst xmlns="http://schemas.openxmlformats.org/spreadsheetml/2006/main" count="158" uniqueCount="94">
  <si>
    <t xml:space="preserve">RANGO COMPANY </t>
  </si>
  <si>
    <t>Net annual cash inflows</t>
  </si>
  <si>
    <t>Years</t>
  </si>
  <si>
    <t>Straight line method</t>
  </si>
  <si>
    <t>salvage value</t>
  </si>
  <si>
    <t>Tasks:</t>
  </si>
  <si>
    <t>Initial outlay / investment</t>
  </si>
  <si>
    <t>years</t>
  </si>
  <si>
    <t>annual depreciation charge</t>
  </si>
  <si>
    <t>ARR = (4000 - 2000) / 20 000 =</t>
  </si>
  <si>
    <t>cash inflows per year - depreciation charge</t>
  </si>
  <si>
    <t xml:space="preserve">3. NPV </t>
  </si>
  <si>
    <t>year</t>
  </si>
  <si>
    <t>cash flow</t>
  </si>
  <si>
    <t>discount factor</t>
  </si>
  <si>
    <t>cost of capital = 12%</t>
  </si>
  <si>
    <t>discounted cash flows</t>
  </si>
  <si>
    <t>NPV &gt;0, accept the project</t>
  </si>
  <si>
    <r>
      <rPr>
        <b/>
        <sz val="12"/>
        <color theme="1"/>
        <rFont val="Calibri"/>
        <family val="2"/>
        <scheme val="minor"/>
      </rPr>
      <t>1. Payback period</t>
    </r>
    <r>
      <rPr>
        <sz val="12"/>
        <color theme="1"/>
        <rFont val="Calibri"/>
        <family val="2"/>
        <charset val="238"/>
        <scheme val="minor"/>
      </rPr>
      <t xml:space="preserve"> = initial investment / annual cash inflows</t>
    </r>
  </si>
  <si>
    <r>
      <rPr>
        <b/>
        <sz val="12"/>
        <color theme="1"/>
        <rFont val="Calibri"/>
        <family val="2"/>
        <scheme val="minor"/>
      </rPr>
      <t>2. ARR</t>
    </r>
    <r>
      <rPr>
        <sz val="12"/>
        <color theme="1"/>
        <rFont val="Calibri"/>
        <family val="2"/>
        <charset val="238"/>
        <scheme val="minor"/>
      </rPr>
      <t xml:space="preserve"> = accounting rate of return = average annual accounting profit / initial investment</t>
    </r>
  </si>
  <si>
    <t>4. IRR = internal rate of return</t>
  </si>
  <si>
    <t>calculated by formula in Excel</t>
  </si>
  <si>
    <t>15,1 % &gt; 12% (cost of capital)</t>
  </si>
  <si>
    <t>project can be accepted</t>
  </si>
  <si>
    <t>r+</t>
  </si>
  <si>
    <t>NPV +</t>
  </si>
  <si>
    <t>r-</t>
  </si>
  <si>
    <t>NPV -</t>
  </si>
  <si>
    <t xml:space="preserve">IRR = </t>
  </si>
  <si>
    <t>i1</t>
  </si>
  <si>
    <t>i2</t>
  </si>
  <si>
    <t>NPV1</t>
  </si>
  <si>
    <t>NPV2</t>
  </si>
  <si>
    <t>IRR = i1 + (NPV1 * (i2 -i1)) / (NPV 1 + |NPV 2|)</t>
  </si>
  <si>
    <t>cost of capital = 16%</t>
  </si>
  <si>
    <t>NPV =</t>
  </si>
  <si>
    <t>Year</t>
  </si>
  <si>
    <t>Cash flows</t>
  </si>
  <si>
    <t>1) Payback period</t>
  </si>
  <si>
    <t>2) NPV, r = 14%</t>
  </si>
  <si>
    <t>3) IRR</t>
  </si>
  <si>
    <t>Accumulated CF</t>
  </si>
  <si>
    <t>After 2years and 1 month project will be paid back</t>
  </si>
  <si>
    <t>CF</t>
  </si>
  <si>
    <t>discount factors</t>
  </si>
  <si>
    <t>discounted CF</t>
  </si>
  <si>
    <t>NPV</t>
  </si>
  <si>
    <t>Excel</t>
  </si>
  <si>
    <t xml:space="preserve">NPV &gt; 0. we accept </t>
  </si>
  <si>
    <t xml:space="preserve">IRR </t>
  </si>
  <si>
    <t>Excel IRR</t>
  </si>
  <si>
    <t>IRR &gt; cost of capital 14% --&gt; we accept</t>
  </si>
  <si>
    <t>A</t>
  </si>
  <si>
    <t>B</t>
  </si>
  <si>
    <t>C</t>
  </si>
  <si>
    <t xml:space="preserve">Investment </t>
  </si>
  <si>
    <t>Useful life</t>
  </si>
  <si>
    <t>Annual cash savings</t>
  </si>
  <si>
    <t>Payback period</t>
  </si>
  <si>
    <t>ranking</t>
  </si>
  <si>
    <t>IRR</t>
  </si>
  <si>
    <t>cost of capital</t>
  </si>
  <si>
    <t>NPVA</t>
  </si>
  <si>
    <t>NPV A</t>
  </si>
  <si>
    <t>Excel formula</t>
  </si>
  <si>
    <t>NPV B</t>
  </si>
  <si>
    <t>NPV C</t>
  </si>
  <si>
    <t>D</t>
  </si>
  <si>
    <t>E</t>
  </si>
  <si>
    <t>ranking based on NPC</t>
  </si>
  <si>
    <t>&lt;-- NPV &lt; 0 not accepted</t>
  </si>
  <si>
    <t>&lt;-- IRR &lt; 12% not accepted</t>
  </si>
  <si>
    <t>ranking based on IRR</t>
  </si>
  <si>
    <t>profitability index</t>
  </si>
  <si>
    <t>PI &lt;1 ---&gt; not accepted</t>
  </si>
  <si>
    <t>Cash outflow</t>
  </si>
  <si>
    <t>* Cost of new machinery</t>
  </si>
  <si>
    <t>* Trade in allowance for old machinery</t>
  </si>
  <si>
    <t>Net cash outflow</t>
  </si>
  <si>
    <t>Cash savings (annual)</t>
  </si>
  <si>
    <t>Cash operating costs</t>
  </si>
  <si>
    <t>* old machinery</t>
  </si>
  <si>
    <t>* new machinery</t>
  </si>
  <si>
    <t>Depreciation expense (annual)</t>
  </si>
  <si>
    <t>--&gt;</t>
  </si>
  <si>
    <t>net cash outflow</t>
  </si>
  <si>
    <t xml:space="preserve">--&gt; </t>
  </si>
  <si>
    <t>book value of old machinery after 1 year</t>
  </si>
  <si>
    <t>Additional annual depreciation</t>
  </si>
  <si>
    <t>Taxable savings</t>
  </si>
  <si>
    <t>Income tax on savings 50%</t>
  </si>
  <si>
    <t>Annual cash savings after tax</t>
  </si>
  <si>
    <t>Internal rate of return factor :</t>
  </si>
  <si>
    <t>Present value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</si>
</sst>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_);[Red]\(#,##0.00\ &quot;zł&quot;\)"/>
    <numFmt numFmtId="172" formatCode="#,##0.000"/>
    <numFmt numFmtId="175" formatCode="#,##0.00000"/>
  </numFmts>
  <fonts count="5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1" applyFont="1"/>
    <xf numFmtId="10" fontId="0" fillId="0" borderId="0" xfId="0" applyNumberFormat="1"/>
    <xf numFmtId="8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" fontId="0" fillId="0" borderId="0" xfId="0" applyNumberFormat="1"/>
    <xf numFmtId="10" fontId="0" fillId="0" borderId="0" xfId="1" applyNumberFormat="1" applyFont="1"/>
    <xf numFmtId="0" fontId="3" fillId="2" borderId="0" xfId="0" applyFont="1" applyFill="1"/>
    <xf numFmtId="0" fontId="2" fillId="0" borderId="0" xfId="0" applyFont="1"/>
    <xf numFmtId="0" fontId="2" fillId="2" borderId="0" xfId="0" applyFont="1" applyFill="1"/>
    <xf numFmtId="9" fontId="2" fillId="0" borderId="0" xfId="0" applyNumberFormat="1" applyFont="1"/>
    <xf numFmtId="3" fontId="0" fillId="0" borderId="0" xfId="0" applyNumberFormat="1"/>
    <xf numFmtId="3" fontId="0" fillId="2" borderId="0" xfId="0" applyNumberFormat="1" applyFill="1"/>
    <xf numFmtId="0" fontId="0" fillId="0" borderId="0" xfId="0" quotePrefix="1"/>
    <xf numFmtId="0" fontId="0" fillId="3" borderId="0" xfId="0" applyFill="1"/>
    <xf numFmtId="3" fontId="0" fillId="3" borderId="0" xfId="0" applyNumberFormat="1" applyFill="1"/>
    <xf numFmtId="172" fontId="0" fillId="0" borderId="0" xfId="0" applyNumberFormat="1"/>
    <xf numFmtId="172" fontId="0" fillId="2" borderId="0" xfId="0" applyNumberFormat="1" applyFill="1"/>
    <xf numFmtId="175" fontId="0" fillId="0" borderId="0" xfId="0" applyNumberForma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ustomXml" Target="../ink/ink5.xml"/><Relationship Id="rId7" Type="http://schemas.openxmlformats.org/officeDocument/2006/relationships/customXml" Target="../ink/ink7.xml"/><Relationship Id="rId12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ustomXml" Target="../ink/ink4.xml"/><Relationship Id="rId6" Type="http://schemas.openxmlformats.org/officeDocument/2006/relationships/image" Target="../media/image6.png"/><Relationship Id="rId11" Type="http://schemas.openxmlformats.org/officeDocument/2006/relationships/customXml" Target="../ink/ink9.xml"/><Relationship Id="rId5" Type="http://schemas.openxmlformats.org/officeDocument/2006/relationships/customXml" Target="../ink/ink6.xml"/><Relationship Id="rId10" Type="http://schemas.openxmlformats.org/officeDocument/2006/relationships/image" Target="../media/image3.png"/><Relationship Id="rId4" Type="http://schemas.openxmlformats.org/officeDocument/2006/relationships/image" Target="../media/image5.png"/><Relationship Id="rId9" Type="http://schemas.openxmlformats.org/officeDocument/2006/relationships/customXml" Target="../ink/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579170</xdr:colOff>
      <xdr:row>13</xdr:row>
      <xdr:rowOff>40338</xdr:rowOff>
    </xdr:from>
    <xdr:to>
      <xdr:col>4</xdr:col>
      <xdr:colOff>1098650</xdr:colOff>
      <xdr:row>14</xdr:row>
      <xdr:rowOff>195251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Pismo odręczne 3">
              <a:extLst>
                <a:ext uri="{FF2B5EF4-FFF2-40B4-BE49-F238E27FC236}">
                  <a16:creationId xmlns:a16="http://schemas.microsoft.com/office/drawing/2014/main" id="{7637B4C3-C5D5-DB01-CA1C-FE683FE585B0}"/>
                </a:ext>
              </a:extLst>
            </xdr14:cNvPr>
            <xdr14:cNvContentPartPr/>
          </xdr14:nvContentPartPr>
          <xdr14:nvPr macro=""/>
          <xdr14:xfrm>
            <a:off x="4199400" y="2697120"/>
            <a:ext cx="519480" cy="359280"/>
          </xdr14:xfrm>
        </xdr:contentPart>
      </mc:Choice>
      <mc:Fallback>
        <xdr:pic>
          <xdr:nvPicPr>
            <xdr:cNvPr id="4" name="Pismo odręczne 3">
              <a:extLst>
                <a:ext uri="{FF2B5EF4-FFF2-40B4-BE49-F238E27FC236}">
                  <a16:creationId xmlns:a16="http://schemas.microsoft.com/office/drawing/2014/main" id="{7637B4C3-C5D5-DB01-CA1C-FE683FE585B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190400" y="2688120"/>
              <a:ext cx="537120" cy="376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621680</xdr:colOff>
      <xdr:row>33</xdr:row>
      <xdr:rowOff>134760</xdr:rowOff>
    </xdr:from>
    <xdr:to>
      <xdr:col>4</xdr:col>
      <xdr:colOff>937760</xdr:colOff>
      <xdr:row>34</xdr:row>
      <xdr:rowOff>180680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7" name="Pismo odręczne 6">
              <a:extLst>
                <a:ext uri="{FF2B5EF4-FFF2-40B4-BE49-F238E27FC236}">
                  <a16:creationId xmlns:a16="http://schemas.microsoft.com/office/drawing/2014/main" id="{50839DF6-C19B-1142-7A1A-F0EC65E26824}"/>
                </a:ext>
              </a:extLst>
            </xdr14:cNvPr>
            <xdr14:cNvContentPartPr/>
          </xdr14:nvContentPartPr>
          <xdr14:nvPr macro=""/>
          <xdr14:xfrm>
            <a:off x="5610240" y="6840360"/>
            <a:ext cx="316080" cy="249120"/>
          </xdr14:xfrm>
        </xdr:contentPart>
      </mc:Choice>
      <mc:Fallback>
        <xdr:pic>
          <xdr:nvPicPr>
            <xdr:cNvPr id="7" name="Pismo odręczne 6">
              <a:extLst>
                <a:ext uri="{FF2B5EF4-FFF2-40B4-BE49-F238E27FC236}">
                  <a16:creationId xmlns:a16="http://schemas.microsoft.com/office/drawing/2014/main" id="{50839DF6-C19B-1142-7A1A-F0EC65E2682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01600" y="6831360"/>
              <a:ext cx="333720" cy="266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49320</xdr:colOff>
      <xdr:row>31</xdr:row>
      <xdr:rowOff>107720</xdr:rowOff>
    </xdr:from>
    <xdr:to>
      <xdr:col>2</xdr:col>
      <xdr:colOff>987080</xdr:colOff>
      <xdr:row>31</xdr:row>
      <xdr:rowOff>197360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8" name="Pismo odręczne 7">
              <a:extLst>
                <a:ext uri="{FF2B5EF4-FFF2-40B4-BE49-F238E27FC236}">
                  <a16:creationId xmlns:a16="http://schemas.microsoft.com/office/drawing/2014/main" id="{627A4D9B-1BB3-C59E-0F40-D33F41659EE4}"/>
                </a:ext>
              </a:extLst>
            </xdr14:cNvPr>
            <xdr14:cNvContentPartPr/>
          </xdr14:nvContentPartPr>
          <xdr14:nvPr macro=""/>
          <xdr14:xfrm>
            <a:off x="872280" y="6406920"/>
            <a:ext cx="2908800" cy="89640"/>
          </xdr14:xfrm>
        </xdr:contentPart>
      </mc:Choice>
      <mc:Fallback>
        <xdr:pic>
          <xdr:nvPicPr>
            <xdr:cNvPr id="8" name="Pismo odręczne 7">
              <a:extLst>
                <a:ext uri="{FF2B5EF4-FFF2-40B4-BE49-F238E27FC236}">
                  <a16:creationId xmlns:a16="http://schemas.microsoft.com/office/drawing/2014/main" id="{627A4D9B-1BB3-C59E-0F40-D33F41659EE4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18640" y="6298920"/>
              <a:ext cx="3016440" cy="3052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</xdr:colOff>
      <xdr:row>4</xdr:row>
      <xdr:rowOff>85778</xdr:rowOff>
    </xdr:from>
    <xdr:to>
      <xdr:col>5</xdr:col>
      <xdr:colOff>134838</xdr:colOff>
      <xdr:row>4</xdr:row>
      <xdr:rowOff>101618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Pismo odręczne 1">
              <a:extLst>
                <a:ext uri="{FF2B5EF4-FFF2-40B4-BE49-F238E27FC236}">
                  <a16:creationId xmlns:a16="http://schemas.microsoft.com/office/drawing/2014/main" id="{EB21C4B8-370C-6D90-1A31-CDFC37CF37AA}"/>
                </a:ext>
              </a:extLst>
            </xdr14:cNvPr>
            <xdr14:cNvContentPartPr/>
          </xdr14:nvContentPartPr>
          <xdr14:nvPr macro=""/>
          <xdr14:xfrm>
            <a:off x="4188960" y="884520"/>
            <a:ext cx="59400" cy="15840"/>
          </xdr14:xfrm>
        </xdr:contentPart>
      </mc:Choice>
      <mc:Fallback>
        <xdr:pic>
          <xdr:nvPicPr>
            <xdr:cNvPr id="2" name="Pismo odręczne 1">
              <a:extLst>
                <a:ext uri="{FF2B5EF4-FFF2-40B4-BE49-F238E27FC236}">
                  <a16:creationId xmlns:a16="http://schemas.microsoft.com/office/drawing/2014/main" id="{EB21C4B8-370C-6D90-1A31-CDFC37CF37A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135320" y="776520"/>
              <a:ext cx="167040" cy="231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82278</xdr:colOff>
      <xdr:row>6</xdr:row>
      <xdr:rowOff>145407</xdr:rowOff>
    </xdr:from>
    <xdr:to>
      <xdr:col>5</xdr:col>
      <xdr:colOff>189558</xdr:colOff>
      <xdr:row>6</xdr:row>
      <xdr:rowOff>147927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Pismo odręczne 2">
              <a:extLst>
                <a:ext uri="{FF2B5EF4-FFF2-40B4-BE49-F238E27FC236}">
                  <a16:creationId xmlns:a16="http://schemas.microsoft.com/office/drawing/2014/main" id="{F675C4FA-0AD0-3854-F2D2-E1D02510C1D5}"/>
                </a:ext>
              </a:extLst>
            </xdr14:cNvPr>
            <xdr14:cNvContentPartPr/>
          </xdr14:nvContentPartPr>
          <xdr14:nvPr macro=""/>
          <xdr14:xfrm>
            <a:off x="4195800" y="1343520"/>
            <a:ext cx="107280" cy="2520"/>
          </xdr14:xfrm>
        </xdr:contentPart>
      </mc:Choice>
      <mc:Fallback>
        <xdr:pic>
          <xdr:nvPicPr>
            <xdr:cNvPr id="3" name="Pismo odręczne 2">
              <a:extLst>
                <a:ext uri="{FF2B5EF4-FFF2-40B4-BE49-F238E27FC236}">
                  <a16:creationId xmlns:a16="http://schemas.microsoft.com/office/drawing/2014/main" id="{F675C4FA-0AD0-3854-F2D2-E1D02510C1D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142160" y="1235880"/>
              <a:ext cx="214920" cy="218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653087</xdr:colOff>
      <xdr:row>11</xdr:row>
      <xdr:rowOff>105299</xdr:rowOff>
    </xdr:from>
    <xdr:to>
      <xdr:col>4</xdr:col>
      <xdr:colOff>49263</xdr:colOff>
      <xdr:row>11</xdr:row>
      <xdr:rowOff>107819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4" name="Pismo odręczne 3">
              <a:extLst>
                <a:ext uri="{FF2B5EF4-FFF2-40B4-BE49-F238E27FC236}">
                  <a16:creationId xmlns:a16="http://schemas.microsoft.com/office/drawing/2014/main" id="{00DF5003-2DE1-91BB-26F2-8FE5634825C3}"/>
                </a:ext>
              </a:extLst>
            </xdr14:cNvPr>
            <xdr14:cNvContentPartPr/>
          </xdr14:nvContentPartPr>
          <xdr14:nvPr macro=""/>
          <xdr14:xfrm>
            <a:off x="3121200" y="2301840"/>
            <a:ext cx="218880" cy="2520"/>
          </xdr14:xfrm>
        </xdr:contentPart>
      </mc:Choice>
      <mc:Fallback>
        <xdr:pic>
          <xdr:nvPicPr>
            <xdr:cNvPr id="4" name="Pismo odręczne 3">
              <a:extLst>
                <a:ext uri="{FF2B5EF4-FFF2-40B4-BE49-F238E27FC236}">
                  <a16:creationId xmlns:a16="http://schemas.microsoft.com/office/drawing/2014/main" id="{00DF5003-2DE1-91BB-26F2-8FE5634825C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067200" y="2193840"/>
              <a:ext cx="326520" cy="218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445727</xdr:colOff>
      <xdr:row>5</xdr:row>
      <xdr:rowOff>58892</xdr:rowOff>
    </xdr:from>
    <xdr:to>
      <xdr:col>5</xdr:col>
      <xdr:colOff>679879</xdr:colOff>
      <xdr:row>17</xdr:row>
      <xdr:rowOff>55586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7" name="Pismo odręczne 6">
              <a:extLst>
                <a:ext uri="{FF2B5EF4-FFF2-40B4-BE49-F238E27FC236}">
                  <a16:creationId xmlns:a16="http://schemas.microsoft.com/office/drawing/2014/main" id="{6E3E8D19-9266-985C-76C8-084584D936F3}"/>
                </a:ext>
              </a:extLst>
            </xdr14:cNvPr>
            <xdr14:cNvContentPartPr/>
          </xdr14:nvContentPartPr>
          <xdr14:nvPr macro=""/>
          <xdr14:xfrm>
            <a:off x="2913840" y="1057320"/>
            <a:ext cx="1879560" cy="2392920"/>
          </xdr14:xfrm>
        </xdr:contentPart>
      </mc:Choice>
      <mc:Fallback>
        <xdr:pic>
          <xdr:nvPicPr>
            <xdr:cNvPr id="7" name="Pismo odręczne 6">
              <a:extLst>
                <a:ext uri="{FF2B5EF4-FFF2-40B4-BE49-F238E27FC236}">
                  <a16:creationId xmlns:a16="http://schemas.microsoft.com/office/drawing/2014/main" id="{6E3E8D19-9266-985C-76C8-084584D936F3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896200" y="1039323"/>
              <a:ext cx="1915200" cy="242855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49320</xdr:colOff>
      <xdr:row>24</xdr:row>
      <xdr:rowOff>107720</xdr:rowOff>
    </xdr:from>
    <xdr:to>
      <xdr:col>4</xdr:col>
      <xdr:colOff>263180</xdr:colOff>
      <xdr:row>24</xdr:row>
      <xdr:rowOff>197360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8" name="Pismo odręczne 7">
              <a:extLst>
                <a:ext uri="{FF2B5EF4-FFF2-40B4-BE49-F238E27FC236}">
                  <a16:creationId xmlns:a16="http://schemas.microsoft.com/office/drawing/2014/main" id="{9E207416-1ACA-AD4C-9B87-C38E7FC30A40}"/>
                </a:ext>
              </a:extLst>
            </xdr14:cNvPr>
            <xdr14:cNvContentPartPr/>
          </xdr14:nvContentPartPr>
          <xdr14:nvPr macro=""/>
          <xdr14:xfrm>
            <a:off x="872280" y="6406920"/>
            <a:ext cx="2908800" cy="89640"/>
          </xdr14:xfrm>
        </xdr:contentPart>
      </mc:Choice>
      <mc:Fallback>
        <xdr:pic>
          <xdr:nvPicPr>
            <xdr:cNvPr id="8" name="Pismo odręczne 7">
              <a:extLst>
                <a:ext uri="{FF2B5EF4-FFF2-40B4-BE49-F238E27FC236}">
                  <a16:creationId xmlns:a16="http://schemas.microsoft.com/office/drawing/2014/main" id="{9E207416-1ACA-AD4C-9B87-C38E7FC30A40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18640" y="6298920"/>
              <a:ext cx="3016440" cy="305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410322</xdr:colOff>
      <xdr:row>27</xdr:row>
      <xdr:rowOff>159691</xdr:rowOff>
    </xdr:from>
    <xdr:to>
      <xdr:col>4</xdr:col>
      <xdr:colOff>670602</xdr:colOff>
      <xdr:row>29</xdr:row>
      <xdr:rowOff>38959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11" name="Pismo odręczne 10">
              <a:extLst>
                <a:ext uri="{FF2B5EF4-FFF2-40B4-BE49-F238E27FC236}">
                  <a16:creationId xmlns:a16="http://schemas.microsoft.com/office/drawing/2014/main" id="{5CF3F759-9ABC-F8B9-B93E-7AA246C51741}"/>
                </a:ext>
              </a:extLst>
            </xdr14:cNvPr>
            <xdr14:cNvContentPartPr/>
          </xdr14:nvContentPartPr>
          <xdr14:nvPr macro=""/>
          <xdr14:xfrm>
            <a:off x="3916800" y="5551200"/>
            <a:ext cx="260280" cy="278640"/>
          </xdr14:xfrm>
        </xdr:contentPart>
      </mc:Choice>
      <mc:Fallback>
        <xdr:pic>
          <xdr:nvPicPr>
            <xdr:cNvPr id="11" name="Pismo odręczne 10">
              <a:extLst>
                <a:ext uri="{FF2B5EF4-FFF2-40B4-BE49-F238E27FC236}">
                  <a16:creationId xmlns:a16="http://schemas.microsoft.com/office/drawing/2014/main" id="{5CF3F759-9ABC-F8B9-B93E-7AA246C51741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3907812" y="5542560"/>
              <a:ext cx="277896" cy="2962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9T18:02:47.878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0 24575,'8'3'0,"1"-1"0,21 1 0,-1 8 0,13 5 0,-1 16 0,14 0 0,-6 10 0,14-5 0,-5 7 0,1-4 0,5 11 0,3 2 0,1 1 0,11 0 0,-7-7 0,0 1 0,7 8 0,-12-12 0,0 5 0,-15-15 0,-7-1 0,-9-5 0,-3-5 0,-11-6 0,0-7 0,-12-2 0,1-2 0,-6-1 0,0-2 0,-2-5 0,0-12 0,-3 7 0,0-5 0</inkml:trace>
  <inkml:trace contextRef="#ctx0" brushRef="#br0" timeOffset="1028">1366 678 24575,'0'10'0,"6"4"0,-3-4 0,12 5 0,-5-7 0,2 4 0,-1-3 0,-5 0 0,2-4 0,-5 3 0,-1-2 0,-6 2 0,-19 2 0,-8 1 0,-29 6 0,-8 5 0,-21-1-712,38-9 1,-1 0 711,-4-1 0,-1 0 0,-2 0 0,-1-1 0,3-1 0,2-1 0,-32 6 0,4-4 0,26-6 0,-4 4 0,17-7 0,7 3 0,16-4 0,2 0 0,11 0 355,0 0 1,5 0 0,1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9T18:27:39.625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1 626 24575,'0'-7'0,"0"-4"0,0 3 0,0-7 0,0 7 0,0-7 0,0 7 0,0-4 0,0 1 0,0 3 0,0-3 0,0-1 0,0 4 0,0-3 0,0 0 0,0 2 0,0-6 0,3 3 0,2 0 0,3-3 0,-1 6 0,0-2 0,1 4 0,-1 0 0,0 2 0,-3-1 0,3 5 0,-3-2 0,3 0 0,0 2 0,0-2 0,4 3 0,-2 0 0,6 0 0,-3 0 0,4 0 0,0 0 0,11 0 0,-12 3 0,12 1 0,-15 4 0,0-1 0,-1 1 0,-3-1 0,-1-3 0,0 2 0,-3-2 0,-1 4 0,0-1 0,-2 4 0,2-3 0,-3 7 0,3-7 0,-2 7 0,2-6 0,1 6 0,-3-3 0,5 0 0,-5 3 0,6-3 0,-3 4 0,4 0 0,0 0 0,0 0 0,0-4 0,3 3 0,1-7 0,4 4 0,0-4 0,1 0 0,-2 0 0,1-4 0,5 0 0,-4-4 0,9 0 0,-9 0 0,3 0 0,-4 0 0,0-4 0,0 0 0,0-4 0,-3 0 0,2-4 0,-7 4 0,3-3 0,-4 3 0,1-3 0,-1 3 0,1-4 0,-4 5 0,-1 0 0,-3-1 0,0 1 0,0 0 0,0-1 0,0-3 0,0 3 0,0-7 0,0 6 0,3-2 0,-2 0 0,2 3 0,-3-4 0,0 5 0,0 0 0,3 3 0,1 1 0,1 3 0,-2 0 0</inkml:trace>
  <inkml:trace contextRef="#ctx0" brushRef="#br0" timeOffset="1788">6 148 8191,'0'-11'0,"0"0"5063,0 1-5063,3 5 2818,-2-6-2818,6 11 1719,-3-11-1719,3 6 6784,1-3-6784,2-2 0,2 8 0,0-8 0,2 9 0,-2-2 0,9 3 0,1 0 0,4 0 0,0 0 0,0 0 0,6 0 0,-9 0 0,8 0 0,-14 0 0,4 0 0,-5 0 0,0 0 0,-4 3 0,-1 1 0,-4 7 0,1-3 0,-1 3 0,1 1 0,-1-4 0,1 7 0,-1-7 0,1 3 0,-1-4 0,0 1 0,-3 3 0,3-3 0,-6 3 0,5-4 0,-2 0 0,3-3 0,0 3 0,0-3 0,1 0 0,-1-1 0,4 0 0,-3-2 0,7 6 0,-3-6 0,0 3 0,3-4 0,-2 0 0,-1 0 0,3 0 0,-3 0 0,4 0 0,0 0 0,0 0 0,0 0 0,0-4 0,0-1 0,0-6 0,0 2 0,0-7 0,0 4 0,-3-4 0,-2-1 0,-2 1 0,-2 0 0,2 0 0,-1 0 0,-4 4 0,0-4 0,-4 8 0,0-3 0,0 0 0,0 3 0,0-3 0,0 7 0,0 1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9T18:28:19.557"/>
    </inkml:context>
    <inkml:brush xml:id="br0">
      <inkml:brushProperty name="width" value="0.3" units="cm"/>
      <inkml:brushProperty name="height" value="0.6" units="cm"/>
      <inkml:brushProperty name="color" value="#00FDFF"/>
      <inkml:brushProperty name="tip" value="rectangle"/>
      <inkml:brushProperty name="rasterOp" value="maskPen"/>
    </inkml:brush>
  </inkml:definitions>
  <inkml:trace contextRef="#ctx0" brushRef="#br0">1 1,'79'0,"-1"0,-18 0,0 0,24 0,1 0,-14 0,1 0,25 0,3 0,-9 0,0 0,8-1,0 2,-14 1,-2 3,-1 1,3 2,-17 1,4 1,-5-1,10 3,-1 0,19 1,-2 0,-23-6,-3-1,-1-1,1-2,4 1,1-2,4-2,1 0,-1 3,0 1,7-4,0 1,-6 2,-1 1,1-1,-1 0,-9-3,-1 2,1 4,-3 0,25-4,-20 3,-4 2,-7-1,3-2,1 0,-4 5,32-8,-22 9,6-9,-8 9,-6-9,6 9,-13-9,5 9,1-9,-6 3,28-4,-10 0,7 0,19 0,-44 0,43 0,-33 0,13 0,-1 0,16 0,-31 0,-4 0,1 0,3 0,38-5,-22-12,8-9,-15-3,11 0,-19 8,13-2,-8 6,-6 1,-1 5,-7 0,-6 6,-2 0,-6 1,6 3,-4-4,11 5,-12 0,5 0,-6 0,1 0,-6 0,4 0,-10 0,5 0,0 0,-4 0,9 0,-4 0,11 0,2 0,5 0,1 0,0 0,0 0,-1 0,18 0,-13 5,7 0,-14 1,-9 2,11-2,-11 4,3-1,-4 1,-7-1,0 0,-5 0,-6-1,0 1,-5-1,-4 0,6-1,-3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9T18:32:04.568"/>
    </inkml:context>
    <inkml:brush xml:id="br0">
      <inkml:brushProperty name="width" value="0.3" units="cm"/>
      <inkml:brushProperty name="height" value="0.6" units="cm"/>
      <inkml:brushProperty name="color" value="#00FDFF"/>
      <inkml:brushProperty name="tip" value="rectangle"/>
      <inkml:brushProperty name="rasterOp" value="maskPen"/>
    </inkml:brush>
  </inkml:definitions>
  <inkml:trace contextRef="#ctx0" brushRef="#br0">1 43,'39'-3,"1"1,-33 2,6 0,5-11,-6 5,10-8,-9 7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9T18:32:05.878"/>
    </inkml:context>
    <inkml:brush xml:id="br0">
      <inkml:brushProperty name="width" value="0.3" units="cm"/>
      <inkml:brushProperty name="height" value="0.6" units="cm"/>
      <inkml:brushProperty name="color" value="#00FDFF"/>
      <inkml:brushProperty name="tip" value="rectangle"/>
      <inkml:brushProperty name="rasterOp" value="maskPen"/>
    </inkml:brush>
  </inkml:definitions>
  <inkml:trace contextRef="#ctx0" brushRef="#br0">1 6,'60'-3,"-12"1,-4 2,-16 0,13 0,-19 0,2 0,-10 0,2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9T18:34:22.361"/>
    </inkml:context>
    <inkml:brush xml:id="br0">
      <inkml:brushProperty name="width" value="0.3" units="cm"/>
      <inkml:brushProperty name="height" value="0.6" units="cm"/>
      <inkml:brushProperty name="color" value="#00FDFF"/>
      <inkml:brushProperty name="tip" value="rectangle"/>
      <inkml:brushProperty name="rasterOp" value="maskPen"/>
    </inkml:brush>
  </inkml:definitions>
  <inkml:trace contextRef="#ctx0" brushRef="#br0">0 0,'48'0,"3"0,-24 0,8 0,-5 0,0 0,1 0,-1 0,-4 0,3 0,-11 0,6 0,-2 0,-4 0,6 0,-7 0,4 0,-4 0,-1 0,1 0,-1 0,1 3,0-2,-5 2,2-3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9T18:36:51.553"/>
    </inkml:context>
    <inkml:brush xml:id="br0">
      <inkml:brushProperty name="width" value="0.1" units="cm"/>
      <inkml:brushProperty name="height" value="0.1" units="cm"/>
      <inkml:brushProperty name="color" value="#FFC114"/>
    </inkml:brush>
  </inkml:definitions>
  <inkml:trace contextRef="#ctx0" brushRef="#br0">5221 0 24575,'0'50'0,"0"9"0,0 29 0,-5 2 0,3-20 0,-2 4 0,-1 4 0,-2 2-2987,-1 10 0,-2 3 2987,2-24 0,-2 1 0,0 0 0,1-3 0,0 0 0,-2-2 0,-7 18 0,-1 4 0,5 4 0,2 7 0,-3-6 0,0-25 0,-1-4 0,0 5 0,1 6 0,1 7 0,0 1 0,-2-6 0,-3 6 0,0-4 0,-1-2 0,3-12 0,-1-2 0,-1 5 0,-9 26 0,-2 6 0,0-6-692,6-28 1,0-4 0,-2 5 691,-2 6 0,-2 6 0,-2 0 0,-1-5 0,-5 3 0,-2-4 0,0-4 0,3-8 0,-1-3 0,-3 3 0,-4 0 0,-3 3 0,-2-1 0,1-4 0,-1-1 0,0-5 0,-2 4 0,-2 2 0,-3 5 0,-1 0 0,1-5 0,-10 7 0,1-5 0,2-3 0,11-9 0,1-3 0,-5 3 0,-6 3 0,-7 4 0,-1 0 0,6-5-393,2-4 1,4-3-1,-4 4 393,-8 3 0,-7 6 0,1-2 0,7-5 0,13-8 0,4-4 0,-2 0 0,-15 8 0,-3 0 0,3-2 0,-9 5 0,1-2-467,14-12 0,-3 1 0,2-1 467,3-1 0,2-1 0,0-1 0,-18 9 0,1-3 0,5-4 0,2-2 0,8-2 0,2-1 788,3-7 0,1-2-788,4 0 0,1-1 0,-35 12 0,18-5 0,1 2 0,12-5 0,-10 2 0,6 2 0,1-7 0,11 5 0,-4-10 2558,9 5-2558,1-7 3517,7 0-3517,8-1 2489,1-4-2489,7-3 121,5-1 1,7-3 0,3 0 0</inkml:trace>
  <inkml:trace contextRef="#ctx0" brushRef="#br0" timeOffset="943">540 5928 24575,'-36'31'0,"2"0"0,-32 26 0,1 12 0,15-18-940,1 13 940,11-19 230,6-2-230,-3 5 0,6-6 0,8-2 0,-2-7 0,7 1 0,1-12 710,4 3-710,8-8 0,-4 3 0,4-12 0,-1 7 0,2-12 0,2 6 0,2-6 0,8 2 0,12-4 0,15 2 0,10-3 0,18 0 0,-3 0 0,21 0 0,-25 0 0,22 0 0,-17-9 0,11 7 0,-8-11 0,-13 8 0,-7 1 0,-15-3 0,-1 6 0,-16-2 0,-1 3 0,-8 0 0,1 0 0,-5 0 0,-2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09T18:40:59.470"/>
    </inkml:context>
    <inkml:brush xml:id="br0">
      <inkml:brushProperty name="width" value="0.3" units="cm"/>
      <inkml:brushProperty name="height" value="0.6" units="cm"/>
      <inkml:brushProperty name="color" value="#00FDFF"/>
      <inkml:brushProperty name="tip" value="rectangle"/>
      <inkml:brushProperty name="rasterOp" value="maskPen"/>
    </inkml:brush>
  </inkml:definitions>
  <inkml:trace contextRef="#ctx0" brushRef="#br0">1 1,'79'0,"-1"0,-18 0,0 0,24 0,1 0,-14 0,1 0,25 0,3 0,-9 0,0 0,8-1,0 2,-14 1,-2 3,-1 1,3 2,-17 1,4 1,-5-1,10 3,-1 0,19 1,-2 0,-23-6,-3-1,-1-1,1-2,4 1,1-2,4-2,1 0,-1 3,0 1,7-4,0 1,-6 2,-1 1,1-1,-1 0,-9-3,-1 2,1 4,-3 0,25-4,-20 3,-4 2,-7-1,3-2,1 0,-4 5,32-8,-22 9,6-9,-8 9,-6-9,6 9,-13-9,5 9,1-9,-6 3,28-4,-10 0,7 0,19 0,-44 0,43 0,-33 0,13 0,-1 0,16 0,-31 0,-4 0,1 0,3 0,38-5,-22-12,8-9,-15-3,11 0,-19 8,13-2,-8 6,-6 1,-1 5,-7 0,-6 6,-2 0,-6 1,6 3,-4-4,11 5,-12 0,5 0,-6 0,1 0,-6 0,4 0,-10 0,5 0,0 0,-4 0,9 0,-4 0,11 0,2 0,5 0,1 0,0 0,0 0,-1 0,18 0,-13 5,7 0,-14 1,-9 2,11-2,-11 4,3-1,-4 1,-7-1,0 0,-5 0,-6-1,0 1,-5-1,-4 0,6-1,-3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9T18:44:12.984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5 315 24575,'0'-11'0,"0"2"0,0-3 0,0-11 0,0 7 0,0-16 0,0 15 0,0-3 0,-4-4 0,6 13 0,-5-13 0,12 16 0,-5-7 0,5 8 0,-3 1 0,2-3 0,2 5 0,8-8 0,0 8 0,1-2 0,1 6 0,-3 0 0,4 0 0,-4 0 0,3 0 0,-6 0 0,2 0 0,-6 0 0,1 0 0,-4 3 0,2 0 0,-3 6 0,-1-3 0,2 6 0,-1-2 0,0 2 0,0 1 0,1-1 0,-1 1 0,0 0 0,1-1 0,-1 1 0,0 0 0,1-1 0,2-2 0,1 2 0,-1-5 0,3 2 0,-6-3 0,6 0 0,-2-3 0,0 0 0,1-3 0,-1 0 0,3 0 0,3 0 0,-3 0 0,4 0 0,-5 0 0,1 0 0,-3-3 0,-2 3 0,-2-3 0,0 1 0,0 1 0,2-5 0,-1 3 0,2-3 0,-1 0 0,-1 0 0,5-3 0,-5-1 0,2-2 0,0-1 0,-2 0 0,2 1 0,-3-1 0,1-4 0,-1 4 0,-2-4 0,-1 5 0,-3-1 0,0 0 0,0 4 0,0-3 0,0 5 0,0-2 0,0 4 0,0-1 0,0 3 0,0 1 0</inkml:trace>
  <inkml:trace contextRef="#ctx0" brushRef="#br0" timeOffset="1377">105 580 24575,'0'-8'0,"0"2"0,0-6 0,0 5 0,0-2 0,0 4 0,0-3 0,-2 4 0,4-4 0,7 5 0,-1-3 0,13 2 0,-14-1 0,9 4 0,-7-1 0,1 2 0,2 0 0,0 0 0,-2 0 0,1 0 0,-5 0 0,3 0 0,-3 0 0,3 0 0,0 0 0,-2 0 0,1 0 0,1 5 0,-2 2 0,5 6 0,-2 3 0,3-2 0,-2 6 0,1-7 0,-5 7 0,5-6 0,-5 2 0,3 0 0,-4-2 0,1 2 0,-1-3 0,0-1 0,1 1 0,-1 0 0,0-4 0,0 0 0,0-3 0,3 0 0,-3 0 0,3 0 0,0-3 0,0-1 0,8-2 0,0 0 0,4 0 0,-4-5 0,4-7 0,-4-2 0,2-7 0,2-2 0,-5-4 0,3-4 0,-7-4 0,-1 3 0,-3-3 0,-1 5 0,-2 4 0,-2 1 0,-3 7 0,0 2 0,0 6 0,0-2 0,0 6 0,0 0 0,0 3 0</inkml:trace>
</inkml: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533A-3DE0-5648-BDC9-293CC10DF555}">
  <dimension ref="A2:M45"/>
  <sheetViews>
    <sheetView topLeftCell="A17" zoomScale="125" workbookViewId="0">
      <selection activeCell="A32" sqref="A32:B38"/>
    </sheetView>
  </sheetViews>
  <sheetFormatPr baseColWidth="10" defaultRowHeight="16" x14ac:dyDescent="0.2"/>
  <cols>
    <col min="2" max="2" width="25.83203125" customWidth="1"/>
    <col min="3" max="3" width="18" customWidth="1"/>
    <col min="5" max="5" width="14.6640625" customWidth="1"/>
  </cols>
  <sheetData>
    <row r="2" spans="2:7" x14ac:dyDescent="0.2">
      <c r="B2" t="s">
        <v>0</v>
      </c>
    </row>
    <row r="4" spans="2:7" x14ac:dyDescent="0.2">
      <c r="B4" t="s">
        <v>6</v>
      </c>
      <c r="D4">
        <v>20000</v>
      </c>
    </row>
    <row r="5" spans="2:7" x14ac:dyDescent="0.2">
      <c r="B5" t="s">
        <v>1</v>
      </c>
      <c r="E5">
        <v>4000</v>
      </c>
    </row>
    <row r="6" spans="2:7" x14ac:dyDescent="0.2">
      <c r="B6" t="s">
        <v>2</v>
      </c>
      <c r="D6">
        <v>10</v>
      </c>
    </row>
    <row r="7" spans="2:7" x14ac:dyDescent="0.2">
      <c r="B7" t="s">
        <v>3</v>
      </c>
    </row>
    <row r="8" spans="2:7" x14ac:dyDescent="0.2">
      <c r="B8" t="s">
        <v>4</v>
      </c>
      <c r="E8">
        <v>0</v>
      </c>
    </row>
    <row r="10" spans="2:7" x14ac:dyDescent="0.2">
      <c r="B10" t="s">
        <v>5</v>
      </c>
    </row>
    <row r="11" spans="2:7" x14ac:dyDescent="0.2">
      <c r="B11" s="5" t="s">
        <v>18</v>
      </c>
      <c r="F11">
        <f>20000/E5</f>
        <v>5</v>
      </c>
      <c r="G11" t="s">
        <v>7</v>
      </c>
    </row>
    <row r="13" spans="2:7" x14ac:dyDescent="0.2">
      <c r="B13" s="5" t="s">
        <v>19</v>
      </c>
    </row>
    <row r="15" spans="2:7" x14ac:dyDescent="0.2">
      <c r="B15" t="s">
        <v>8</v>
      </c>
      <c r="D15">
        <f>(20000-0)/D6</f>
        <v>2000</v>
      </c>
    </row>
    <row r="16" spans="2:7" x14ac:dyDescent="0.2">
      <c r="F16" t="s">
        <v>10</v>
      </c>
    </row>
    <row r="17" spans="2:13" x14ac:dyDescent="0.2">
      <c r="B17" t="s">
        <v>9</v>
      </c>
      <c r="D17" s="1">
        <f>2000/20000</f>
        <v>0.1</v>
      </c>
    </row>
    <row r="19" spans="2:13" x14ac:dyDescent="0.2">
      <c r="B19" s="4" t="s">
        <v>11</v>
      </c>
      <c r="C19">
        <f>SUM(C24:M24)</f>
        <v>2600.8921136434533</v>
      </c>
      <c r="D19" t="s">
        <v>17</v>
      </c>
    </row>
    <row r="21" spans="2:13" x14ac:dyDescent="0.2">
      <c r="B21" t="s">
        <v>12</v>
      </c>
      <c r="C21">
        <v>0</v>
      </c>
      <c r="D21">
        <v>1</v>
      </c>
      <c r="E21">
        <v>2</v>
      </c>
      <c r="F21">
        <v>3</v>
      </c>
      <c r="G21">
        <v>4</v>
      </c>
      <c r="H21">
        <v>5</v>
      </c>
      <c r="I21">
        <v>6</v>
      </c>
      <c r="J21">
        <v>7</v>
      </c>
      <c r="K21">
        <v>8</v>
      </c>
      <c r="L21">
        <v>9</v>
      </c>
      <c r="M21">
        <v>10</v>
      </c>
    </row>
    <row r="22" spans="2:13" x14ac:dyDescent="0.2">
      <c r="B22" t="s">
        <v>13</v>
      </c>
      <c r="C22">
        <v>-20000</v>
      </c>
      <c r="D22">
        <v>4000</v>
      </c>
      <c r="E22">
        <v>4000</v>
      </c>
      <c r="F22">
        <v>4000</v>
      </c>
      <c r="G22">
        <v>4000</v>
      </c>
      <c r="H22">
        <v>4000</v>
      </c>
      <c r="I22">
        <v>4000</v>
      </c>
      <c r="J22">
        <v>4000</v>
      </c>
      <c r="K22">
        <v>4000</v>
      </c>
      <c r="L22">
        <v>4000</v>
      </c>
      <c r="M22">
        <v>4000</v>
      </c>
    </row>
    <row r="23" spans="2:13" x14ac:dyDescent="0.2">
      <c r="B23" t="s">
        <v>14</v>
      </c>
      <c r="C23">
        <f>(1+0.12)^C21</f>
        <v>1</v>
      </c>
      <c r="D23">
        <f>(1+0.12)^D21</f>
        <v>1.1200000000000001</v>
      </c>
      <c r="E23">
        <f t="shared" ref="E23:M23" si="0">(1+0.12)^E21</f>
        <v>1.2544000000000002</v>
      </c>
      <c r="F23">
        <f t="shared" si="0"/>
        <v>1.4049280000000004</v>
      </c>
      <c r="G23">
        <f t="shared" si="0"/>
        <v>1.5735193600000004</v>
      </c>
      <c r="H23">
        <f t="shared" si="0"/>
        <v>1.7623416832000005</v>
      </c>
      <c r="I23">
        <f t="shared" si="0"/>
        <v>1.9738226851840008</v>
      </c>
      <c r="J23">
        <f t="shared" si="0"/>
        <v>2.210681407406081</v>
      </c>
      <c r="K23">
        <f t="shared" si="0"/>
        <v>2.4759631762948109</v>
      </c>
      <c r="L23">
        <f t="shared" si="0"/>
        <v>2.7730787574501883</v>
      </c>
      <c r="M23">
        <f t="shared" si="0"/>
        <v>3.1058482083442112</v>
      </c>
    </row>
    <row r="24" spans="2:13" x14ac:dyDescent="0.2">
      <c r="B24" t="s">
        <v>16</v>
      </c>
      <c r="C24">
        <f>C22</f>
        <v>-20000</v>
      </c>
      <c r="D24">
        <f>D22/D23</f>
        <v>3571.4285714285711</v>
      </c>
      <c r="E24">
        <f t="shared" ref="E24:M24" si="1">E22/E23</f>
        <v>3188.775510204081</v>
      </c>
      <c r="F24">
        <f t="shared" si="1"/>
        <v>2847.1209912536433</v>
      </c>
      <c r="G24">
        <f t="shared" si="1"/>
        <v>2542.0723136193246</v>
      </c>
      <c r="H24">
        <f t="shared" si="1"/>
        <v>2269.7074228743968</v>
      </c>
      <c r="I24">
        <f t="shared" si="1"/>
        <v>2026.5244847092827</v>
      </c>
      <c r="J24">
        <f t="shared" si="1"/>
        <v>1809.3968613475738</v>
      </c>
      <c r="K24">
        <f t="shared" si="1"/>
        <v>1615.5329119174764</v>
      </c>
      <c r="L24">
        <f t="shared" si="1"/>
        <v>1442.4400999263182</v>
      </c>
      <c r="M24">
        <f t="shared" si="1"/>
        <v>1287.892946362784</v>
      </c>
    </row>
    <row r="25" spans="2:13" x14ac:dyDescent="0.2">
      <c r="B25" t="s">
        <v>15</v>
      </c>
    </row>
    <row r="26" spans="2:13" x14ac:dyDescent="0.2">
      <c r="C26" s="3">
        <f>NPV(0.12,D22:M22)-20000</f>
        <v>2600.8921136434474</v>
      </c>
      <c r="D26" t="s">
        <v>21</v>
      </c>
    </row>
    <row r="28" spans="2:13" x14ac:dyDescent="0.2">
      <c r="B28" t="s">
        <v>20</v>
      </c>
      <c r="C28" s="2">
        <f>IRR(C22:M22)</f>
        <v>0.15098414477083444</v>
      </c>
      <c r="D28" t="str">
        <f>D26</f>
        <v>calculated by formula in Excel</v>
      </c>
    </row>
    <row r="30" spans="2:13" x14ac:dyDescent="0.2">
      <c r="C30" t="s">
        <v>22</v>
      </c>
      <c r="E30" t="s">
        <v>23</v>
      </c>
    </row>
    <row r="32" spans="2:13" x14ac:dyDescent="0.2">
      <c r="B32" t="s">
        <v>33</v>
      </c>
    </row>
    <row r="34" spans="1:13" x14ac:dyDescent="0.2">
      <c r="A34" t="s">
        <v>29</v>
      </c>
      <c r="B34" t="s">
        <v>24</v>
      </c>
      <c r="C34" s="6">
        <v>0.12</v>
      </c>
    </row>
    <row r="35" spans="1:13" x14ac:dyDescent="0.2">
      <c r="A35" t="s">
        <v>31</v>
      </c>
      <c r="B35" t="s">
        <v>25</v>
      </c>
      <c r="C35">
        <v>2600</v>
      </c>
      <c r="E35" t="s">
        <v>28</v>
      </c>
      <c r="F35">
        <f>0.12+(2600*0.04)/(2600+667)</f>
        <v>0.15183348637894092</v>
      </c>
    </row>
    <row r="37" spans="1:13" x14ac:dyDescent="0.2">
      <c r="A37" t="s">
        <v>30</v>
      </c>
      <c r="B37" t="s">
        <v>26</v>
      </c>
      <c r="C37" s="6">
        <v>0.16</v>
      </c>
    </row>
    <row r="38" spans="1:13" x14ac:dyDescent="0.2">
      <c r="A38" t="s">
        <v>32</v>
      </c>
      <c r="B38" t="s">
        <v>27</v>
      </c>
      <c r="C38">
        <v>-667</v>
      </c>
    </row>
    <row r="40" spans="1:13" x14ac:dyDescent="0.2">
      <c r="B40" t="s">
        <v>12</v>
      </c>
      <c r="C40">
        <v>0</v>
      </c>
      <c r="D40">
        <v>1</v>
      </c>
      <c r="E40">
        <v>2</v>
      </c>
      <c r="F40">
        <v>3</v>
      </c>
      <c r="G40">
        <v>4</v>
      </c>
      <c r="H40">
        <v>5</v>
      </c>
      <c r="I40">
        <v>6</v>
      </c>
      <c r="J40">
        <v>7</v>
      </c>
      <c r="K40">
        <v>8</v>
      </c>
      <c r="L40">
        <v>9</v>
      </c>
      <c r="M40">
        <v>10</v>
      </c>
    </row>
    <row r="41" spans="1:13" x14ac:dyDescent="0.2">
      <c r="B41" t="s">
        <v>13</v>
      </c>
      <c r="C41">
        <v>-20000</v>
      </c>
      <c r="D41">
        <v>4000</v>
      </c>
      <c r="E41">
        <v>4000</v>
      </c>
      <c r="F41">
        <v>4000</v>
      </c>
      <c r="G41">
        <v>4000</v>
      </c>
      <c r="H41">
        <v>4000</v>
      </c>
      <c r="I41">
        <v>4000</v>
      </c>
      <c r="J41">
        <v>4000</v>
      </c>
      <c r="K41">
        <v>4000</v>
      </c>
      <c r="L41">
        <v>4000</v>
      </c>
      <c r="M41">
        <v>4000</v>
      </c>
    </row>
    <row r="42" spans="1:13" x14ac:dyDescent="0.2">
      <c r="B42" t="s">
        <v>14</v>
      </c>
      <c r="C42">
        <f>(1+0.16)^C40</f>
        <v>1</v>
      </c>
      <c r="D42">
        <f t="shared" ref="D42:M42" si="2">(1+0.16)^D40</f>
        <v>1.1599999999999999</v>
      </c>
      <c r="E42">
        <f t="shared" si="2"/>
        <v>1.3455999999999999</v>
      </c>
      <c r="F42">
        <f t="shared" si="2"/>
        <v>1.5608959999999998</v>
      </c>
      <c r="G42">
        <f t="shared" si="2"/>
        <v>1.8106393599999997</v>
      </c>
      <c r="H42">
        <f t="shared" si="2"/>
        <v>2.1003416575999996</v>
      </c>
      <c r="I42">
        <f t="shared" si="2"/>
        <v>2.4363963228159995</v>
      </c>
      <c r="J42">
        <f t="shared" si="2"/>
        <v>2.8262197344665592</v>
      </c>
      <c r="K42">
        <f t="shared" si="2"/>
        <v>3.2784148919812086</v>
      </c>
      <c r="L42">
        <f t="shared" si="2"/>
        <v>3.8029612746982018</v>
      </c>
      <c r="M42">
        <f t="shared" si="2"/>
        <v>4.4114350786499141</v>
      </c>
    </row>
    <row r="43" spans="1:13" x14ac:dyDescent="0.2">
      <c r="B43" t="s">
        <v>16</v>
      </c>
      <c r="C43">
        <f>C41</f>
        <v>-20000</v>
      </c>
      <c r="D43">
        <f>D41/D42</f>
        <v>3448.2758620689656</v>
      </c>
      <c r="E43">
        <f t="shared" ref="E43" si="3">E41/E42</f>
        <v>2972.6516052318671</v>
      </c>
      <c r="F43">
        <f t="shared" ref="F43" si="4">F41/F42</f>
        <v>2562.6306941654025</v>
      </c>
      <c r="G43">
        <f t="shared" ref="G43" si="5">G41/G42</f>
        <v>2209.1643915218992</v>
      </c>
      <c r="H43">
        <f t="shared" ref="H43" si="6">H41/H42</f>
        <v>1904.4520616568095</v>
      </c>
      <c r="I43">
        <f t="shared" ref="I43" si="7">I41/I42</f>
        <v>1641.7690186696634</v>
      </c>
      <c r="J43">
        <f t="shared" ref="J43" si="8">J41/J42</f>
        <v>1415.3181195428135</v>
      </c>
      <c r="K43">
        <f t="shared" ref="K43" si="9">K41/K42</f>
        <v>1220.1018271920805</v>
      </c>
      <c r="L43">
        <f t="shared" ref="L43" si="10">L41/L42</f>
        <v>1051.811919993173</v>
      </c>
      <c r="M43">
        <f t="shared" ref="M43" si="11">M41/M42</f>
        <v>906.73441378721805</v>
      </c>
    </row>
    <row r="44" spans="1:13" x14ac:dyDescent="0.2">
      <c r="B44" t="s">
        <v>34</v>
      </c>
    </row>
    <row r="45" spans="1:13" x14ac:dyDescent="0.2">
      <c r="B45" t="s">
        <v>35</v>
      </c>
      <c r="C45">
        <f>SUM(C43:M43)</f>
        <v>-667.09008617010954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FA0E-B485-B040-B699-3929C38BD6B5}">
  <dimension ref="A2:L37"/>
  <sheetViews>
    <sheetView topLeftCell="A19" zoomScale="159" workbookViewId="0">
      <selection activeCell="J31" sqref="J31"/>
    </sheetView>
  </sheetViews>
  <sheetFormatPr baseColWidth="10" defaultRowHeight="16" x14ac:dyDescent="0.2"/>
  <cols>
    <col min="3" max="3" width="13.6640625" customWidth="1"/>
  </cols>
  <sheetData>
    <row r="2" spans="2:11" x14ac:dyDescent="0.2">
      <c r="B2" t="s">
        <v>36</v>
      </c>
      <c r="C2" t="s">
        <v>37</v>
      </c>
    </row>
    <row r="3" spans="2:11" x14ac:dyDescent="0.2">
      <c r="B3">
        <v>0</v>
      </c>
      <c r="C3">
        <v>-31000</v>
      </c>
      <c r="F3" t="s">
        <v>38</v>
      </c>
      <c r="H3" s="7">
        <f>2+1000/10000</f>
        <v>2.1</v>
      </c>
      <c r="J3">
        <f>0.1*12</f>
        <v>1.2000000000000002</v>
      </c>
      <c r="K3" t="s">
        <v>42</v>
      </c>
    </row>
    <row r="4" spans="2:11" x14ac:dyDescent="0.2">
      <c r="B4">
        <v>1</v>
      </c>
      <c r="C4">
        <v>10000</v>
      </c>
    </row>
    <row r="5" spans="2:11" x14ac:dyDescent="0.2">
      <c r="B5">
        <v>2</v>
      </c>
      <c r="C5">
        <v>20000</v>
      </c>
      <c r="F5" t="s">
        <v>39</v>
      </c>
    </row>
    <row r="6" spans="2:11" x14ac:dyDescent="0.2">
      <c r="B6">
        <v>3</v>
      </c>
      <c r="C6">
        <v>10000</v>
      </c>
    </row>
    <row r="7" spans="2:11" x14ac:dyDescent="0.2">
      <c r="B7">
        <v>4</v>
      </c>
      <c r="C7">
        <v>10000</v>
      </c>
      <c r="F7" t="s">
        <v>40</v>
      </c>
    </row>
    <row r="8" spans="2:11" x14ac:dyDescent="0.2">
      <c r="B8">
        <v>5</v>
      </c>
      <c r="C8">
        <v>5000</v>
      </c>
    </row>
    <row r="10" spans="2:11" x14ac:dyDescent="0.2">
      <c r="C10" t="s">
        <v>41</v>
      </c>
    </row>
    <row r="12" spans="2:11" x14ac:dyDescent="0.2">
      <c r="C12">
        <v>1</v>
      </c>
      <c r="D12">
        <v>2</v>
      </c>
      <c r="E12">
        <v>3</v>
      </c>
    </row>
    <row r="13" spans="2:11" x14ac:dyDescent="0.2">
      <c r="C13">
        <f>10000</f>
        <v>10000</v>
      </c>
      <c r="D13">
        <f>C13+C5</f>
        <v>30000</v>
      </c>
      <c r="E13">
        <f>D13+C6</f>
        <v>40000</v>
      </c>
    </row>
    <row r="19" spans="1:12" x14ac:dyDescent="0.2">
      <c r="C19" t="s">
        <v>36</v>
      </c>
      <c r="D19">
        <v>0</v>
      </c>
      <c r="E19">
        <v>1</v>
      </c>
      <c r="F19">
        <v>2</v>
      </c>
      <c r="G19">
        <v>3</v>
      </c>
      <c r="H19">
        <v>4</v>
      </c>
      <c r="I19">
        <v>5</v>
      </c>
    </row>
    <row r="20" spans="1:12" x14ac:dyDescent="0.2">
      <c r="C20" t="s">
        <v>43</v>
      </c>
      <c r="D20">
        <f>C3</f>
        <v>-31000</v>
      </c>
      <c r="E20">
        <f>10000</f>
        <v>10000</v>
      </c>
      <c r="F20">
        <v>20000</v>
      </c>
      <c r="G20">
        <v>10000</v>
      </c>
      <c r="H20">
        <v>10000</v>
      </c>
      <c r="I20">
        <v>5000</v>
      </c>
    </row>
    <row r="21" spans="1:12" x14ac:dyDescent="0.2">
      <c r="C21" t="s">
        <v>44</v>
      </c>
      <c r="D21">
        <f>(1+0.14)^D19</f>
        <v>1</v>
      </c>
      <c r="E21">
        <f t="shared" ref="E21:I21" si="0">(1+0.14)^E19</f>
        <v>1.1400000000000001</v>
      </c>
      <c r="F21">
        <f t="shared" si="0"/>
        <v>1.2996000000000003</v>
      </c>
      <c r="G21">
        <f t="shared" si="0"/>
        <v>1.4815440000000004</v>
      </c>
      <c r="H21">
        <f t="shared" si="0"/>
        <v>1.6889601600000008</v>
      </c>
      <c r="I21">
        <f t="shared" si="0"/>
        <v>1.9254145824000011</v>
      </c>
    </row>
    <row r="22" spans="1:12" x14ac:dyDescent="0.2">
      <c r="C22" t="s">
        <v>45</v>
      </c>
      <c r="D22">
        <f>D20/D21</f>
        <v>-31000</v>
      </c>
      <c r="E22">
        <f t="shared" ref="E22:I22" si="1">E20/E21</f>
        <v>8771.9298245614027</v>
      </c>
      <c r="F22">
        <f t="shared" si="1"/>
        <v>15389.350569405968</v>
      </c>
      <c r="G22">
        <f t="shared" si="1"/>
        <v>6749.7151620201612</v>
      </c>
      <c r="H22">
        <f t="shared" si="1"/>
        <v>5920.8027737018947</v>
      </c>
      <c r="I22">
        <f t="shared" si="1"/>
        <v>2596.8433217990764</v>
      </c>
      <c r="J22" s="8">
        <f>SUM(D22:I22)</f>
        <v>8428.6416514885041</v>
      </c>
      <c r="K22" s="8" t="s">
        <v>46</v>
      </c>
    </row>
    <row r="24" spans="1:12" x14ac:dyDescent="0.2">
      <c r="J24" s="3">
        <f>NPV(0.14,E20:I20)-31000</f>
        <v>8428.6416514885059</v>
      </c>
      <c r="K24" t="s">
        <v>47</v>
      </c>
      <c r="L24" t="s">
        <v>48</v>
      </c>
    </row>
    <row r="25" spans="1:12" x14ac:dyDescent="0.2">
      <c r="B25" t="s">
        <v>33</v>
      </c>
    </row>
    <row r="27" spans="1:12" x14ac:dyDescent="0.2">
      <c r="A27" t="s">
        <v>29</v>
      </c>
      <c r="B27" t="s">
        <v>24</v>
      </c>
      <c r="C27" s="6">
        <v>0.14000000000000001</v>
      </c>
    </row>
    <row r="28" spans="1:12" x14ac:dyDescent="0.2">
      <c r="A28" t="s">
        <v>31</v>
      </c>
      <c r="B28" t="s">
        <v>25</v>
      </c>
      <c r="C28" s="9">
        <f>J22</f>
        <v>8428.6416514885041</v>
      </c>
    </row>
    <row r="29" spans="1:12" x14ac:dyDescent="0.2">
      <c r="E29" t="s">
        <v>49</v>
      </c>
      <c r="F29" s="10">
        <f>0.14+(8429*(0.27-0.14))/(8429+487)</f>
        <v>0.26289928218932257</v>
      </c>
      <c r="H29" t="s">
        <v>51</v>
      </c>
    </row>
    <row r="30" spans="1:12" x14ac:dyDescent="0.2">
      <c r="A30" t="s">
        <v>30</v>
      </c>
      <c r="B30" t="s">
        <v>26</v>
      </c>
      <c r="C30" s="6">
        <v>0.27</v>
      </c>
    </row>
    <row r="31" spans="1:12" x14ac:dyDescent="0.2">
      <c r="A31" t="s">
        <v>32</v>
      </c>
      <c r="B31" t="s">
        <v>27</v>
      </c>
      <c r="C31" s="9">
        <f>J37</f>
        <v>-486.65266796107221</v>
      </c>
      <c r="E31" t="s">
        <v>50</v>
      </c>
      <c r="F31" s="2">
        <f>IRR(D35:I35)</f>
        <v>0.26131955359243664</v>
      </c>
    </row>
    <row r="34" spans="3:11" x14ac:dyDescent="0.2">
      <c r="C34" t="s">
        <v>36</v>
      </c>
      <c r="D34">
        <v>0</v>
      </c>
      <c r="E34">
        <v>1</v>
      </c>
      <c r="F34">
        <v>2</v>
      </c>
      <c r="G34">
        <v>3</v>
      </c>
      <c r="H34">
        <v>4</v>
      </c>
      <c r="I34">
        <v>5</v>
      </c>
    </row>
    <row r="35" spans="3:11" x14ac:dyDescent="0.2">
      <c r="C35" t="s">
        <v>43</v>
      </c>
      <c r="D35">
        <f>D20</f>
        <v>-31000</v>
      </c>
      <c r="E35">
        <f t="shared" ref="E35:I35" si="2">E20</f>
        <v>10000</v>
      </c>
      <c r="F35">
        <f t="shared" si="2"/>
        <v>20000</v>
      </c>
      <c r="G35">
        <f t="shared" si="2"/>
        <v>10000</v>
      </c>
      <c r="H35">
        <f t="shared" si="2"/>
        <v>10000</v>
      </c>
      <c r="I35">
        <f t="shared" si="2"/>
        <v>5000</v>
      </c>
    </row>
    <row r="36" spans="3:11" x14ac:dyDescent="0.2">
      <c r="C36" t="s">
        <v>44</v>
      </c>
      <c r="D36">
        <f>(1+0.27)^D34</f>
        <v>1</v>
      </c>
      <c r="E36">
        <f t="shared" ref="E36:I36" si="3">(1+0.27)^E34</f>
        <v>1.27</v>
      </c>
      <c r="F36">
        <f t="shared" si="3"/>
        <v>1.6129</v>
      </c>
      <c r="G36">
        <f t="shared" si="3"/>
        <v>2.0483829999999998</v>
      </c>
      <c r="H36">
        <f t="shared" si="3"/>
        <v>2.6014464099999999</v>
      </c>
      <c r="I36">
        <f t="shared" si="3"/>
        <v>3.3038369406999997</v>
      </c>
    </row>
    <row r="37" spans="3:11" x14ac:dyDescent="0.2">
      <c r="C37" t="s">
        <v>45</v>
      </c>
      <c r="D37">
        <f>D35/D36</f>
        <v>-31000</v>
      </c>
      <c r="E37">
        <f t="shared" ref="E37" si="4">E35/E36</f>
        <v>7874.0157480314956</v>
      </c>
      <c r="F37">
        <f t="shared" ref="F37" si="5">F35/F36</f>
        <v>12400.024800049599</v>
      </c>
      <c r="G37">
        <f t="shared" ref="G37" si="6">G35/G36</f>
        <v>4881.8995275785828</v>
      </c>
      <c r="H37">
        <f t="shared" ref="H37" si="7">H35/H36</f>
        <v>3844.0153760461285</v>
      </c>
      <c r="I37">
        <f t="shared" ref="I37" si="8">I35/I36</f>
        <v>1513.3918803331214</v>
      </c>
      <c r="J37">
        <f>SUM(D37:I37)</f>
        <v>-486.65266796107221</v>
      </c>
      <c r="K37" t="s">
        <v>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C950-3615-EC4A-B47D-BDBAA5220D5E}">
  <dimension ref="B1:W42"/>
  <sheetViews>
    <sheetView topLeftCell="A29" zoomScale="194" workbookViewId="0">
      <selection activeCell="F8" sqref="F8"/>
    </sheetView>
  </sheetViews>
  <sheetFormatPr baseColWidth="10" defaultRowHeight="16" x14ac:dyDescent="0.2"/>
  <cols>
    <col min="2" max="2" width="17.6640625" bestFit="1" customWidth="1"/>
    <col min="5" max="5" width="11.5" bestFit="1" customWidth="1"/>
  </cols>
  <sheetData>
    <row r="1" spans="2:23" x14ac:dyDescent="0.2">
      <c r="B1" t="s">
        <v>61</v>
      </c>
      <c r="C1">
        <f>14%</f>
        <v>0.14000000000000001</v>
      </c>
    </row>
    <row r="3" spans="2:23" x14ac:dyDescent="0.2">
      <c r="C3" t="s">
        <v>52</v>
      </c>
      <c r="D3" t="s">
        <v>53</v>
      </c>
      <c r="E3" t="s">
        <v>54</v>
      </c>
    </row>
    <row r="4" spans="2:23" x14ac:dyDescent="0.2">
      <c r="B4" t="s">
        <v>55</v>
      </c>
      <c r="C4">
        <v>30000</v>
      </c>
      <c r="D4">
        <v>20000</v>
      </c>
      <c r="E4">
        <v>50000</v>
      </c>
    </row>
    <row r="5" spans="2:23" x14ac:dyDescent="0.2">
      <c r="B5" t="s">
        <v>56</v>
      </c>
      <c r="C5">
        <v>10</v>
      </c>
      <c r="D5">
        <v>4</v>
      </c>
      <c r="E5">
        <v>20</v>
      </c>
    </row>
    <row r="6" spans="2:23" x14ac:dyDescent="0.2">
      <c r="B6" t="s">
        <v>57</v>
      </c>
      <c r="C6">
        <v>6207</v>
      </c>
      <c r="D6">
        <v>7725</v>
      </c>
      <c r="E6">
        <v>9341</v>
      </c>
    </row>
    <row r="8" spans="2:23" x14ac:dyDescent="0.2">
      <c r="B8" t="s">
        <v>58</v>
      </c>
      <c r="C8" t="s">
        <v>52</v>
      </c>
      <c r="D8" s="4" t="s">
        <v>53</v>
      </c>
      <c r="E8" t="s">
        <v>54</v>
      </c>
    </row>
    <row r="9" spans="2:23" x14ac:dyDescent="0.2">
      <c r="C9">
        <f>C4/C6</f>
        <v>4.8332527791203477</v>
      </c>
      <c r="D9" s="4">
        <f>D4/D6</f>
        <v>2.5889967637540452</v>
      </c>
      <c r="E9">
        <f>E4/E6</f>
        <v>5.3527459586768016</v>
      </c>
    </row>
    <row r="10" spans="2:23" x14ac:dyDescent="0.2">
      <c r="B10" s="8" t="s">
        <v>59</v>
      </c>
      <c r="C10" s="8">
        <v>2</v>
      </c>
      <c r="D10" s="11">
        <v>1</v>
      </c>
      <c r="E10" s="8">
        <v>3</v>
      </c>
    </row>
    <row r="12" spans="2:23" x14ac:dyDescent="0.2">
      <c r="C12" t="s">
        <v>52</v>
      </c>
      <c r="D12" t="s">
        <v>53</v>
      </c>
      <c r="E12" t="s">
        <v>54</v>
      </c>
    </row>
    <row r="13" spans="2:23" x14ac:dyDescent="0.2">
      <c r="B13" t="s">
        <v>60</v>
      </c>
      <c r="C13" s="6">
        <f>IRR(C16:M16)</f>
        <v>0.15999859395395166</v>
      </c>
      <c r="D13" s="6">
        <f>IRR(C18:G18)</f>
        <v>0.19994656193828941</v>
      </c>
      <c r="E13" s="6">
        <f>IRR(C20:W20)</f>
        <v>0.18000002047339669</v>
      </c>
    </row>
    <row r="14" spans="2:23" x14ac:dyDescent="0.2">
      <c r="B14" s="8" t="s">
        <v>59</v>
      </c>
      <c r="C14" s="8">
        <v>3</v>
      </c>
      <c r="D14" s="8">
        <v>1</v>
      </c>
      <c r="E14" s="8">
        <v>2</v>
      </c>
    </row>
    <row r="15" spans="2:23" x14ac:dyDescent="0.2">
      <c r="B15" t="s">
        <v>52</v>
      </c>
      <c r="C15">
        <v>0</v>
      </c>
      <c r="D15">
        <v>1</v>
      </c>
      <c r="E15">
        <v>2</v>
      </c>
      <c r="F15">
        <v>3</v>
      </c>
      <c r="G15">
        <v>4</v>
      </c>
      <c r="H15">
        <v>5</v>
      </c>
      <c r="I15">
        <v>6</v>
      </c>
      <c r="J15">
        <v>7</v>
      </c>
      <c r="K15">
        <v>8</v>
      </c>
      <c r="L15">
        <v>9</v>
      </c>
      <c r="M15">
        <v>10</v>
      </c>
      <c r="N15">
        <v>11</v>
      </c>
      <c r="O15">
        <v>12</v>
      </c>
      <c r="P15">
        <v>13</v>
      </c>
      <c r="Q15">
        <v>14</v>
      </c>
      <c r="R15">
        <v>15</v>
      </c>
      <c r="S15">
        <v>16</v>
      </c>
      <c r="T15">
        <v>17</v>
      </c>
      <c r="U15">
        <v>18</v>
      </c>
      <c r="V15">
        <v>19</v>
      </c>
      <c r="W15">
        <v>20</v>
      </c>
    </row>
    <row r="16" spans="2:23" x14ac:dyDescent="0.2">
      <c r="C16">
        <f>-30000</f>
        <v>-30000</v>
      </c>
      <c r="D16">
        <f>C6</f>
        <v>6207</v>
      </c>
      <c r="E16">
        <v>6207</v>
      </c>
      <c r="F16">
        <v>6207</v>
      </c>
      <c r="G16">
        <v>6207</v>
      </c>
      <c r="H16">
        <v>6207</v>
      </c>
      <c r="I16">
        <v>6207</v>
      </c>
      <c r="J16">
        <v>6207</v>
      </c>
      <c r="K16">
        <v>6207</v>
      </c>
      <c r="L16">
        <v>6207</v>
      </c>
      <c r="M16">
        <v>6207</v>
      </c>
    </row>
    <row r="18" spans="2:23" x14ac:dyDescent="0.2">
      <c r="B18" t="s">
        <v>53</v>
      </c>
      <c r="C18">
        <f>-20000</f>
        <v>-20000</v>
      </c>
      <c r="D18">
        <v>7725</v>
      </c>
      <c r="E18">
        <v>7725</v>
      </c>
      <c r="F18">
        <v>7725</v>
      </c>
      <c r="G18">
        <v>7725</v>
      </c>
    </row>
    <row r="20" spans="2:23" x14ac:dyDescent="0.2">
      <c r="B20" t="s">
        <v>54</v>
      </c>
      <c r="C20">
        <v>-50000</v>
      </c>
      <c r="D20">
        <v>9341</v>
      </c>
      <c r="E20">
        <v>9341</v>
      </c>
      <c r="F20">
        <v>9341</v>
      </c>
      <c r="G20">
        <v>9341</v>
      </c>
      <c r="H20">
        <v>9341</v>
      </c>
      <c r="I20">
        <v>9341</v>
      </c>
      <c r="J20">
        <v>9341</v>
      </c>
      <c r="K20">
        <v>9341</v>
      </c>
      <c r="L20">
        <v>9341</v>
      </c>
      <c r="M20">
        <v>9341</v>
      </c>
      <c r="N20">
        <v>9341</v>
      </c>
      <c r="O20">
        <v>9341</v>
      </c>
      <c r="P20">
        <v>9341</v>
      </c>
      <c r="Q20">
        <v>9341</v>
      </c>
      <c r="R20">
        <v>9341</v>
      </c>
      <c r="S20">
        <v>9341</v>
      </c>
      <c r="T20">
        <v>9341</v>
      </c>
      <c r="U20">
        <v>9341</v>
      </c>
      <c r="V20">
        <v>9341</v>
      </c>
      <c r="W20">
        <v>9341</v>
      </c>
    </row>
    <row r="22" spans="2:23" x14ac:dyDescent="0.2">
      <c r="B22" t="s">
        <v>62</v>
      </c>
      <c r="C22">
        <v>0</v>
      </c>
      <c r="D22">
        <v>1</v>
      </c>
      <c r="E22">
        <v>2</v>
      </c>
      <c r="F22">
        <v>3</v>
      </c>
      <c r="G22">
        <v>4</v>
      </c>
      <c r="H22">
        <v>5</v>
      </c>
      <c r="I22">
        <v>6</v>
      </c>
      <c r="J22">
        <v>7</v>
      </c>
      <c r="K22">
        <v>8</v>
      </c>
      <c r="L22">
        <v>9</v>
      </c>
      <c r="M22">
        <v>10</v>
      </c>
    </row>
    <row r="23" spans="2:23" x14ac:dyDescent="0.2">
      <c r="B23" t="s">
        <v>43</v>
      </c>
      <c r="C23">
        <f>-30000</f>
        <v>-30000</v>
      </c>
      <c r="D23">
        <f>D16</f>
        <v>6207</v>
      </c>
      <c r="E23">
        <v>6207</v>
      </c>
      <c r="F23">
        <v>6207</v>
      </c>
      <c r="G23">
        <v>6207</v>
      </c>
      <c r="H23">
        <v>6207</v>
      </c>
      <c r="I23">
        <v>6207</v>
      </c>
      <c r="J23">
        <v>6207</v>
      </c>
      <c r="K23">
        <v>6207</v>
      </c>
      <c r="L23">
        <v>6207</v>
      </c>
      <c r="M23">
        <v>6207</v>
      </c>
    </row>
    <row r="24" spans="2:23" x14ac:dyDescent="0.2">
      <c r="B24" t="s">
        <v>45</v>
      </c>
      <c r="C24">
        <f>C23/(1+0.14)^C22</f>
        <v>-30000</v>
      </c>
      <c r="D24">
        <f t="shared" ref="D24:M24" si="0">D23/(1+0.14)^D22</f>
        <v>5444.7368421052624</v>
      </c>
      <c r="E24">
        <f t="shared" si="0"/>
        <v>4776.0849492151419</v>
      </c>
      <c r="F24">
        <f t="shared" si="0"/>
        <v>4189.5482010659134</v>
      </c>
      <c r="G24">
        <f t="shared" si="0"/>
        <v>3675.0422816367659</v>
      </c>
      <c r="H24">
        <f t="shared" si="0"/>
        <v>3223.7212996813732</v>
      </c>
      <c r="I24">
        <f t="shared" si="0"/>
        <v>2827.8257014748883</v>
      </c>
      <c r="J24">
        <f t="shared" si="0"/>
        <v>2480.5488609428844</v>
      </c>
      <c r="K24">
        <f t="shared" si="0"/>
        <v>2175.9200534586703</v>
      </c>
      <c r="L24">
        <f t="shared" si="0"/>
        <v>1908.7018012795349</v>
      </c>
      <c r="M24">
        <f t="shared" si="0"/>
        <v>1674.2998256838025</v>
      </c>
    </row>
    <row r="26" spans="2:23" x14ac:dyDescent="0.2">
      <c r="B26" t="s">
        <v>63</v>
      </c>
      <c r="C26">
        <f>SUM(C24:M24)</f>
        <v>2376.4298165442419</v>
      </c>
      <c r="E26" s="3">
        <f>NPV(0.14,D23:M23)-30000</f>
        <v>2376.4298165442451</v>
      </c>
      <c r="F26" t="s">
        <v>64</v>
      </c>
    </row>
    <row r="28" spans="2:23" x14ac:dyDescent="0.2">
      <c r="B28" t="s">
        <v>65</v>
      </c>
      <c r="C28">
        <v>0</v>
      </c>
      <c r="D28">
        <v>1</v>
      </c>
      <c r="E28">
        <v>2</v>
      </c>
      <c r="F28">
        <v>3</v>
      </c>
      <c r="G28">
        <v>4</v>
      </c>
    </row>
    <row r="29" spans="2:23" x14ac:dyDescent="0.2">
      <c r="B29" t="s">
        <v>43</v>
      </c>
      <c r="C29">
        <v>-20000</v>
      </c>
      <c r="D29">
        <v>7725</v>
      </c>
      <c r="E29">
        <v>7725</v>
      </c>
      <c r="F29">
        <v>7725</v>
      </c>
      <c r="G29">
        <v>7725</v>
      </c>
    </row>
    <row r="30" spans="2:23" x14ac:dyDescent="0.2">
      <c r="B30" t="s">
        <v>45</v>
      </c>
      <c r="C30">
        <f>C29/(1+0.14)^C28</f>
        <v>-20000</v>
      </c>
      <c r="D30">
        <f t="shared" ref="D30:G30" si="1">D29/(1+0.14)^D28</f>
        <v>6776.3157894736833</v>
      </c>
      <c r="E30">
        <f t="shared" si="1"/>
        <v>5944.136657433055</v>
      </c>
      <c r="F30">
        <f t="shared" si="1"/>
        <v>5214.1549626605747</v>
      </c>
      <c r="G30">
        <f t="shared" si="1"/>
        <v>4573.8201426847136</v>
      </c>
    </row>
    <row r="32" spans="2:23" x14ac:dyDescent="0.2">
      <c r="B32" t="s">
        <v>65</v>
      </c>
      <c r="C32">
        <f>SUM(C30:G30)</f>
        <v>2508.4275522520265</v>
      </c>
      <c r="E32" s="3">
        <f>NPV(0.14,D29:G29)-20000</f>
        <v>2508.4275522520256</v>
      </c>
      <c r="F32" t="s">
        <v>64</v>
      </c>
    </row>
    <row r="34" spans="2:23" x14ac:dyDescent="0.2">
      <c r="B34" t="s">
        <v>66</v>
      </c>
      <c r="C34">
        <v>0</v>
      </c>
      <c r="D34">
        <v>1</v>
      </c>
      <c r="E34">
        <v>2</v>
      </c>
      <c r="F34">
        <v>3</v>
      </c>
      <c r="G34">
        <v>4</v>
      </c>
      <c r="H34">
        <v>5</v>
      </c>
      <c r="I34">
        <v>6</v>
      </c>
      <c r="J34">
        <v>7</v>
      </c>
      <c r="K34">
        <v>8</v>
      </c>
      <c r="L34">
        <v>9</v>
      </c>
      <c r="M34">
        <v>10</v>
      </c>
      <c r="N34">
        <v>11</v>
      </c>
      <c r="O34">
        <v>12</v>
      </c>
      <c r="P34">
        <v>13</v>
      </c>
      <c r="Q34">
        <v>14</v>
      </c>
      <c r="R34">
        <v>15</v>
      </c>
      <c r="S34">
        <v>16</v>
      </c>
      <c r="T34">
        <v>17</v>
      </c>
      <c r="U34">
        <v>18</v>
      </c>
      <c r="V34">
        <v>19</v>
      </c>
      <c r="W34">
        <v>20</v>
      </c>
    </row>
    <row r="35" spans="2:23" x14ac:dyDescent="0.2">
      <c r="B35" t="s">
        <v>43</v>
      </c>
      <c r="C35">
        <v>-50000</v>
      </c>
      <c r="D35">
        <v>9341</v>
      </c>
      <c r="E35">
        <v>9341</v>
      </c>
      <c r="F35">
        <v>9341</v>
      </c>
      <c r="G35">
        <v>9341</v>
      </c>
      <c r="H35">
        <v>9341</v>
      </c>
      <c r="I35">
        <v>9341</v>
      </c>
      <c r="J35">
        <v>9341</v>
      </c>
      <c r="K35">
        <v>9341</v>
      </c>
      <c r="L35">
        <v>9341</v>
      </c>
      <c r="M35">
        <v>9341</v>
      </c>
      <c r="N35">
        <v>9341</v>
      </c>
      <c r="O35">
        <v>9341</v>
      </c>
      <c r="P35">
        <v>9341</v>
      </c>
      <c r="Q35">
        <v>9341</v>
      </c>
      <c r="R35">
        <v>9341</v>
      </c>
      <c r="S35">
        <v>9341</v>
      </c>
      <c r="T35">
        <v>9341</v>
      </c>
      <c r="U35">
        <v>9341</v>
      </c>
      <c r="V35">
        <v>9341</v>
      </c>
      <c r="W35">
        <v>9341</v>
      </c>
    </row>
    <row r="36" spans="2:23" x14ac:dyDescent="0.2">
      <c r="B36" t="s">
        <v>45</v>
      </c>
      <c r="C36">
        <f>C35/(1.14)^C34</f>
        <v>-50000</v>
      </c>
      <c r="D36">
        <f t="shared" ref="D36:W36" si="2">D35/(1.14)^D34</f>
        <v>8193.8596491228072</v>
      </c>
      <c r="E36">
        <f t="shared" si="2"/>
        <v>7187.5961834410591</v>
      </c>
      <c r="F36">
        <f t="shared" si="2"/>
        <v>6304.9089328430355</v>
      </c>
      <c r="G36">
        <f t="shared" si="2"/>
        <v>5530.6218709149434</v>
      </c>
      <c r="H36">
        <f t="shared" si="2"/>
        <v>4851.4226937850381</v>
      </c>
      <c r="I36">
        <f t="shared" si="2"/>
        <v>4255.6339419167007</v>
      </c>
      <c r="J36">
        <f t="shared" si="2"/>
        <v>3733.0122297514922</v>
      </c>
      <c r="K36">
        <f t="shared" si="2"/>
        <v>3274.5721313609574</v>
      </c>
      <c r="L36">
        <f t="shared" si="2"/>
        <v>2872.4316941762786</v>
      </c>
      <c r="M36">
        <f t="shared" si="2"/>
        <v>2519.6769247160341</v>
      </c>
      <c r="N36">
        <f t="shared" si="2"/>
        <v>2210.2429164175737</v>
      </c>
      <c r="O36">
        <f t="shared" si="2"/>
        <v>1938.8095758048894</v>
      </c>
      <c r="P36">
        <f t="shared" si="2"/>
        <v>1700.7101542148152</v>
      </c>
      <c r="Q36">
        <f t="shared" si="2"/>
        <v>1491.8510124691365</v>
      </c>
      <c r="R36">
        <f t="shared" si="2"/>
        <v>1308.6412390080145</v>
      </c>
      <c r="S36">
        <f t="shared" si="2"/>
        <v>1147.9309114105388</v>
      </c>
      <c r="T36">
        <f t="shared" si="2"/>
        <v>1006.9569398338061</v>
      </c>
      <c r="U36">
        <f t="shared" si="2"/>
        <v>883.29556125772467</v>
      </c>
      <c r="V36">
        <f t="shared" si="2"/>
        <v>774.82066776993383</v>
      </c>
      <c r="W36">
        <f t="shared" si="2"/>
        <v>679.66725242976656</v>
      </c>
    </row>
    <row r="38" spans="2:23" x14ac:dyDescent="0.2">
      <c r="B38" t="s">
        <v>66</v>
      </c>
      <c r="C38">
        <f>SUM(C36:W36)</f>
        <v>11866.662482644542</v>
      </c>
      <c r="E38" s="3">
        <f>NPV(0.14,D35:W35)-50000</f>
        <v>11866.66248264449</v>
      </c>
      <c r="F38" t="s">
        <v>64</v>
      </c>
    </row>
    <row r="40" spans="2:23" x14ac:dyDescent="0.2">
      <c r="C40" t="s">
        <v>63</v>
      </c>
      <c r="D40" t="s">
        <v>65</v>
      </c>
      <c r="E40" t="s">
        <v>66</v>
      </c>
    </row>
    <row r="41" spans="2:23" x14ac:dyDescent="0.2">
      <c r="C41">
        <f>C26</f>
        <v>2376.4298165442419</v>
      </c>
      <c r="D41">
        <f>C32</f>
        <v>2508.4275522520265</v>
      </c>
      <c r="E41">
        <f>C38</f>
        <v>11866.662482644542</v>
      </c>
    </row>
    <row r="42" spans="2:23" x14ac:dyDescent="0.2">
      <c r="B42" s="8" t="s">
        <v>59</v>
      </c>
      <c r="C42" s="8">
        <v>3</v>
      </c>
      <c r="D42" s="8">
        <v>2</v>
      </c>
      <c r="E42" s="8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6724-37C9-844F-9B2F-3A001E93ED83}">
  <dimension ref="A1:E21"/>
  <sheetViews>
    <sheetView topLeftCell="A8" zoomScale="170" workbookViewId="0">
      <selection activeCell="D5" sqref="B5:D5"/>
    </sheetView>
  </sheetViews>
  <sheetFormatPr baseColWidth="10" defaultRowHeight="16" x14ac:dyDescent="0.2"/>
  <cols>
    <col min="3" max="3" width="19" customWidth="1"/>
    <col min="4" max="4" width="19" bestFit="1" customWidth="1"/>
  </cols>
  <sheetData>
    <row r="1" spans="2:5" x14ac:dyDescent="0.2">
      <c r="C1" t="s">
        <v>46</v>
      </c>
      <c r="D1" s="8" t="s">
        <v>69</v>
      </c>
    </row>
    <row r="2" spans="2:5" x14ac:dyDescent="0.2">
      <c r="B2" t="s">
        <v>52</v>
      </c>
      <c r="C2">
        <v>4325</v>
      </c>
      <c r="D2" s="8">
        <v>1</v>
      </c>
    </row>
    <row r="3" spans="2:5" x14ac:dyDescent="0.2">
      <c r="B3" t="s">
        <v>53</v>
      </c>
      <c r="C3">
        <v>2930</v>
      </c>
      <c r="D3" s="8">
        <v>2</v>
      </c>
    </row>
    <row r="4" spans="2:5" x14ac:dyDescent="0.2">
      <c r="B4" t="s">
        <v>54</v>
      </c>
      <c r="C4">
        <v>2453</v>
      </c>
      <c r="D4" s="8">
        <v>3</v>
      </c>
    </row>
    <row r="5" spans="2:5" x14ac:dyDescent="0.2">
      <c r="B5" t="s">
        <v>67</v>
      </c>
      <c r="C5">
        <v>854</v>
      </c>
      <c r="D5" s="8">
        <v>4</v>
      </c>
    </row>
    <row r="6" spans="2:5" x14ac:dyDescent="0.2">
      <c r="B6" t="s">
        <v>68</v>
      </c>
      <c r="C6" s="12">
        <v>-251</v>
      </c>
      <c r="D6" s="13">
        <v>5</v>
      </c>
      <c r="E6" s="12" t="s">
        <v>70</v>
      </c>
    </row>
    <row r="8" spans="2:5" x14ac:dyDescent="0.2">
      <c r="B8" t="s">
        <v>15</v>
      </c>
    </row>
    <row r="9" spans="2:5" x14ac:dyDescent="0.2">
      <c r="C9" t="s">
        <v>60</v>
      </c>
      <c r="D9" t="s">
        <v>72</v>
      </c>
    </row>
    <row r="10" spans="2:5" x14ac:dyDescent="0.2">
      <c r="B10" t="s">
        <v>52</v>
      </c>
      <c r="C10" s="6">
        <v>0.16</v>
      </c>
      <c r="D10">
        <v>2</v>
      </c>
    </row>
    <row r="11" spans="2:5" x14ac:dyDescent="0.2">
      <c r="B11" t="s">
        <v>53</v>
      </c>
      <c r="C11" s="6">
        <v>0.15</v>
      </c>
      <c r="D11">
        <v>3</v>
      </c>
    </row>
    <row r="12" spans="2:5" x14ac:dyDescent="0.2">
      <c r="B12" t="s">
        <v>54</v>
      </c>
      <c r="C12" s="6">
        <v>0.14000000000000001</v>
      </c>
      <c r="D12">
        <v>4</v>
      </c>
    </row>
    <row r="13" spans="2:5" x14ac:dyDescent="0.2">
      <c r="B13" t="s">
        <v>67</v>
      </c>
      <c r="C13" s="6">
        <v>0.18</v>
      </c>
      <c r="D13">
        <v>1</v>
      </c>
    </row>
    <row r="14" spans="2:5" x14ac:dyDescent="0.2">
      <c r="B14" t="s">
        <v>68</v>
      </c>
      <c r="C14" s="14">
        <v>0.11</v>
      </c>
      <c r="D14" s="12">
        <v>5</v>
      </c>
      <c r="E14" s="12" t="s">
        <v>71</v>
      </c>
    </row>
    <row r="16" spans="2:5" x14ac:dyDescent="0.2">
      <c r="B16" t="s">
        <v>73</v>
      </c>
      <c r="D16" t="s">
        <v>59</v>
      </c>
    </row>
    <row r="17" spans="1:4" x14ac:dyDescent="0.2">
      <c r="A17" t="s">
        <v>52</v>
      </c>
      <c r="B17">
        <v>1.1200000000000001</v>
      </c>
      <c r="D17">
        <v>2</v>
      </c>
    </row>
    <row r="18" spans="1:4" x14ac:dyDescent="0.2">
      <c r="A18" t="s">
        <v>53</v>
      </c>
      <c r="B18">
        <v>1.1499999999999999</v>
      </c>
      <c r="D18">
        <v>1</v>
      </c>
    </row>
    <row r="19" spans="1:4" x14ac:dyDescent="0.2">
      <c r="A19" t="s">
        <v>54</v>
      </c>
      <c r="B19">
        <v>1.1000000000000001</v>
      </c>
      <c r="D19">
        <v>3</v>
      </c>
    </row>
    <row r="20" spans="1:4" x14ac:dyDescent="0.2">
      <c r="A20" t="s">
        <v>67</v>
      </c>
      <c r="B20">
        <v>1.0900000000000001</v>
      </c>
      <c r="D20">
        <v>4</v>
      </c>
    </row>
    <row r="21" spans="1:4" x14ac:dyDescent="0.2">
      <c r="A21" t="s">
        <v>68</v>
      </c>
      <c r="B21" s="12">
        <v>0.97</v>
      </c>
      <c r="C21" s="12" t="s">
        <v>74</v>
      </c>
      <c r="D21" s="12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F3C6-A670-BF4E-8913-611A2127A270}">
  <dimension ref="B2:G30"/>
  <sheetViews>
    <sheetView tabSelected="1" topLeftCell="A14" zoomScale="181" workbookViewId="0">
      <selection activeCell="I24" sqref="I24"/>
    </sheetView>
  </sheetViews>
  <sheetFormatPr baseColWidth="10" defaultRowHeight="16" x14ac:dyDescent="0.2"/>
  <cols>
    <col min="5" max="5" width="10.83203125" style="15"/>
  </cols>
  <sheetData>
    <row r="2" spans="2:5" x14ac:dyDescent="0.2">
      <c r="B2" t="s">
        <v>75</v>
      </c>
    </row>
    <row r="3" spans="2:5" x14ac:dyDescent="0.2">
      <c r="B3" t="s">
        <v>76</v>
      </c>
      <c r="E3" s="15">
        <v>16000</v>
      </c>
    </row>
    <row r="4" spans="2:5" x14ac:dyDescent="0.2">
      <c r="B4" t="s">
        <v>77</v>
      </c>
      <c r="E4" s="15">
        <v>5000</v>
      </c>
    </row>
    <row r="5" spans="2:5" x14ac:dyDescent="0.2">
      <c r="B5" t="s">
        <v>78</v>
      </c>
      <c r="E5" s="16">
        <f>E3-E4</f>
        <v>11000</v>
      </c>
    </row>
    <row r="7" spans="2:5" x14ac:dyDescent="0.2">
      <c r="B7" s="18" t="s">
        <v>79</v>
      </c>
      <c r="C7" s="18"/>
      <c r="D7" s="18"/>
      <c r="E7" s="19">
        <v>3000</v>
      </c>
    </row>
    <row r="8" spans="2:5" x14ac:dyDescent="0.2">
      <c r="B8" t="s">
        <v>80</v>
      </c>
    </row>
    <row r="9" spans="2:5" x14ac:dyDescent="0.2">
      <c r="B9" t="s">
        <v>81</v>
      </c>
      <c r="E9" s="15">
        <v>20000</v>
      </c>
    </row>
    <row r="10" spans="2:5" x14ac:dyDescent="0.2">
      <c r="B10" t="s">
        <v>82</v>
      </c>
      <c r="E10" s="15">
        <v>17000</v>
      </c>
    </row>
    <row r="12" spans="2:5" x14ac:dyDescent="0.2">
      <c r="B12" t="s">
        <v>83</v>
      </c>
    </row>
    <row r="13" spans="2:5" x14ac:dyDescent="0.2">
      <c r="B13" t="s">
        <v>81</v>
      </c>
      <c r="E13" s="15">
        <f>(12500-500)/6</f>
        <v>2000</v>
      </c>
    </row>
    <row r="14" spans="2:5" x14ac:dyDescent="0.2">
      <c r="B14" t="s">
        <v>82</v>
      </c>
      <c r="E14" s="15">
        <f>((C15+C16)-1000)/5</f>
        <v>4100</v>
      </c>
    </row>
    <row r="15" spans="2:5" x14ac:dyDescent="0.2">
      <c r="B15" s="17" t="s">
        <v>84</v>
      </c>
      <c r="C15" s="15">
        <f>E5</f>
        <v>11000</v>
      </c>
      <c r="D15" t="s">
        <v>85</v>
      </c>
    </row>
    <row r="16" spans="2:5" x14ac:dyDescent="0.2">
      <c r="B16" s="17" t="s">
        <v>86</v>
      </c>
      <c r="C16" s="15">
        <f>12500-E13</f>
        <v>10500</v>
      </c>
      <c r="D16" t="s">
        <v>87</v>
      </c>
    </row>
    <row r="17" spans="2:7" x14ac:dyDescent="0.2">
      <c r="B17" s="18" t="s">
        <v>88</v>
      </c>
      <c r="C17" s="18"/>
      <c r="D17" s="18"/>
      <c r="E17" s="19">
        <f>E14-E13</f>
        <v>2100</v>
      </c>
    </row>
    <row r="19" spans="2:7" x14ac:dyDescent="0.2">
      <c r="B19" t="s">
        <v>89</v>
      </c>
      <c r="E19" s="15">
        <f>E7-E17</f>
        <v>900</v>
      </c>
    </row>
    <row r="20" spans="2:7" x14ac:dyDescent="0.2">
      <c r="B20" t="s">
        <v>90</v>
      </c>
      <c r="E20" s="15">
        <f>E19*50%</f>
        <v>450</v>
      </c>
    </row>
    <row r="21" spans="2:7" x14ac:dyDescent="0.2">
      <c r="B21" s="8" t="s">
        <v>91</v>
      </c>
      <c r="C21" s="8"/>
      <c r="D21" s="8"/>
      <c r="E21" s="16">
        <f>E17+E20</f>
        <v>2550</v>
      </c>
    </row>
    <row r="23" spans="2:7" x14ac:dyDescent="0.2">
      <c r="B23" s="8" t="s">
        <v>92</v>
      </c>
      <c r="C23" s="8"/>
      <c r="D23" s="8"/>
      <c r="E23" s="21">
        <f>E5/E21</f>
        <v>4.3137254901960782</v>
      </c>
    </row>
    <row r="25" spans="2:7" x14ac:dyDescent="0.2">
      <c r="D25" t="s">
        <v>93</v>
      </c>
    </row>
    <row r="26" spans="2:7" x14ac:dyDescent="0.2">
      <c r="C26" s="6">
        <v>0.04</v>
      </c>
      <c r="D26">
        <v>4.452</v>
      </c>
      <c r="F26" s="6">
        <v>0.04</v>
      </c>
      <c r="G26">
        <v>4.452</v>
      </c>
    </row>
    <row r="27" spans="2:7" x14ac:dyDescent="0.2">
      <c r="C27" s="6">
        <v>0.06</v>
      </c>
      <c r="D27">
        <v>4.2119999999999997</v>
      </c>
      <c r="F27" t="s">
        <v>60</v>
      </c>
      <c r="G27" s="20">
        <f>E23</f>
        <v>4.3137254901960782</v>
      </c>
    </row>
    <row r="28" spans="2:7" x14ac:dyDescent="0.2">
      <c r="D28">
        <f>D26-D27</f>
        <v>0.24000000000000021</v>
      </c>
      <c r="G28" s="20">
        <f>G26-G27</f>
        <v>0.13827450980392175</v>
      </c>
    </row>
    <row r="30" spans="2:7" x14ac:dyDescent="0.2">
      <c r="D30" t="s">
        <v>28</v>
      </c>
      <c r="E30" s="22">
        <f>(G28/D28)*2%+C26</f>
        <v>5.1522875816993469E-2</v>
      </c>
      <c r="F30" s="10">
        <f>E30</f>
        <v>5.1522875816993469E-2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9.3</vt:lpstr>
      <vt:lpstr>9.4</vt:lpstr>
      <vt:lpstr>9.9</vt:lpstr>
      <vt:lpstr>9.10</vt:lpstr>
      <vt:lpstr>9.12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KKPW</dc:creator>
  <cp:lastModifiedBy>KKPW</cp:lastModifiedBy>
  <dcterms:created xsi:type="dcterms:W3CDTF">2026-01-09T17:17:42Z</dcterms:created>
  <dcterms:modified xsi:type="dcterms:W3CDTF">2026-01-09T19:48:49Z</dcterms:modified>
</cp:coreProperties>
</file>