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-121-17\Desktop\"/>
    </mc:Choice>
  </mc:AlternateContent>
  <xr:revisionPtr revIDLastSave="0" documentId="13_ncr:1_{9511FCD3-76E5-4EC8-A8C6-ECECA52059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ne" sheetId="1" r:id="rId1"/>
    <sheet name="Wyniki zbiorczo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G62" i="1" l="1"/>
  <c r="BG63" i="1"/>
  <c r="BG64" i="1"/>
  <c r="BG65" i="1"/>
  <c r="BG66" i="1"/>
  <c r="BG67" i="1"/>
  <c r="BG68" i="1"/>
  <c r="BG69" i="1"/>
  <c r="BG70" i="1"/>
  <c r="BG71" i="1"/>
  <c r="BG72" i="1"/>
  <c r="BG73" i="1"/>
  <c r="BG74" i="1"/>
  <c r="BG75" i="1"/>
  <c r="BG76" i="1"/>
  <c r="BG77" i="1"/>
  <c r="BG78" i="1"/>
  <c r="BG79" i="1"/>
  <c r="BG80" i="1"/>
  <c r="BG81" i="1"/>
  <c r="BG82" i="1"/>
  <c r="BG83" i="1"/>
  <c r="BG84" i="1"/>
  <c r="BG85" i="1"/>
  <c r="BG86" i="1"/>
  <c r="BG87" i="1"/>
  <c r="BG88" i="1"/>
  <c r="BG89" i="1"/>
  <c r="BG90" i="1"/>
  <c r="BG91" i="1"/>
  <c r="BG92" i="1"/>
  <c r="BG93" i="1"/>
  <c r="BG94" i="1"/>
  <c r="BG95" i="1"/>
  <c r="BG96" i="1"/>
  <c r="BG97" i="1"/>
  <c r="BG98" i="1"/>
  <c r="BG99" i="1"/>
  <c r="BG100" i="1"/>
  <c r="BG101" i="1"/>
  <c r="BG102" i="1"/>
  <c r="BG103" i="1"/>
  <c r="BG104" i="1"/>
  <c r="BG105" i="1"/>
  <c r="BG106" i="1"/>
  <c r="BG107" i="1"/>
  <c r="BG108" i="1"/>
  <c r="BG109" i="1"/>
  <c r="BG110" i="1"/>
  <c r="BG111" i="1"/>
  <c r="BG112" i="1"/>
  <c r="BG113" i="1"/>
  <c r="BG114" i="1"/>
  <c r="BG115" i="1"/>
  <c r="BG116" i="1"/>
  <c r="BG117" i="1"/>
  <c r="BG118" i="1"/>
  <c r="BG119" i="1"/>
  <c r="BG120" i="1"/>
  <c r="BG121" i="1"/>
  <c r="BG122" i="1"/>
  <c r="BG123" i="1"/>
  <c r="BG124" i="1"/>
  <c r="BG125" i="1"/>
  <c r="BG126" i="1"/>
  <c r="BG127" i="1"/>
  <c r="BG128" i="1"/>
  <c r="BG129" i="1"/>
  <c r="BG130" i="1"/>
  <c r="BG131" i="1"/>
  <c r="BG132" i="1"/>
  <c r="BG133" i="1"/>
  <c r="BG134" i="1"/>
  <c r="BG135" i="1"/>
  <c r="BG136" i="1"/>
  <c r="BG137" i="1"/>
  <c r="BG138" i="1"/>
  <c r="BG139" i="1"/>
  <c r="BG140" i="1"/>
  <c r="BG141" i="1"/>
  <c r="BG142" i="1"/>
  <c r="BG143" i="1"/>
  <c r="BG144" i="1"/>
  <c r="BG145" i="1"/>
  <c r="BG146" i="1"/>
  <c r="BG147" i="1"/>
  <c r="BG148" i="1"/>
  <c r="BG149" i="1"/>
  <c r="BG150" i="1"/>
  <c r="BG151" i="1"/>
  <c r="BG152" i="1"/>
  <c r="BG153" i="1"/>
  <c r="BG154" i="1"/>
  <c r="BG155" i="1"/>
  <c r="BG156" i="1"/>
  <c r="BG157" i="1"/>
  <c r="BG158" i="1"/>
  <c r="BG159" i="1"/>
  <c r="BG160" i="1"/>
  <c r="BG161" i="1"/>
  <c r="BG61" i="1"/>
  <c r="BF61" i="1"/>
  <c r="BG56" i="1"/>
  <c r="S46" i="1"/>
  <c r="S47" i="1"/>
  <c r="S48" i="1"/>
  <c r="S49" i="1"/>
  <c r="S50" i="1"/>
  <c r="S51" i="1"/>
  <c r="S45" i="1"/>
  <c r="R46" i="1" a="1"/>
  <c r="R46" i="1" s="1"/>
  <c r="R47" i="1" a="1"/>
  <c r="R47" i="1"/>
  <c r="R48" i="1" a="1"/>
  <c r="R48" i="1" s="1"/>
  <c r="R49" i="1" a="1"/>
  <c r="R49" i="1"/>
  <c r="R50" i="1" a="1"/>
  <c r="R50" i="1" s="1"/>
  <c r="R51" i="1" a="1"/>
  <c r="R51" i="1"/>
  <c r="R45" i="1" a="1"/>
  <c r="R45" i="1"/>
  <c r="BG57" i="1"/>
  <c r="BG55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07" i="1"/>
  <c r="BF108" i="1"/>
  <c r="BF109" i="1"/>
  <c r="BF110" i="1"/>
  <c r="BF111" i="1"/>
  <c r="BF112" i="1"/>
  <c r="BF113" i="1"/>
  <c r="BF114" i="1"/>
  <c r="BF115" i="1"/>
  <c r="BF116" i="1"/>
  <c r="BF117" i="1"/>
  <c r="BF118" i="1"/>
  <c r="BF119" i="1"/>
  <c r="BF120" i="1"/>
  <c r="BF121" i="1"/>
  <c r="BF122" i="1"/>
  <c r="BF123" i="1"/>
  <c r="BF124" i="1"/>
  <c r="BF125" i="1"/>
  <c r="BF126" i="1"/>
  <c r="BF127" i="1"/>
  <c r="BF128" i="1"/>
  <c r="BF129" i="1"/>
  <c r="BF130" i="1"/>
  <c r="BF131" i="1"/>
  <c r="BF132" i="1"/>
  <c r="BF133" i="1"/>
  <c r="BF134" i="1"/>
  <c r="BF135" i="1"/>
  <c r="BF136" i="1"/>
  <c r="BF137" i="1"/>
  <c r="BF138" i="1"/>
  <c r="BF139" i="1"/>
  <c r="BF140" i="1"/>
  <c r="BF141" i="1"/>
  <c r="BF142" i="1"/>
  <c r="BF143" i="1"/>
  <c r="BF144" i="1"/>
  <c r="BF145" i="1"/>
  <c r="BF146" i="1"/>
  <c r="BF147" i="1"/>
  <c r="BF148" i="1"/>
  <c r="BF149" i="1"/>
  <c r="BF150" i="1"/>
  <c r="BF151" i="1"/>
  <c r="BF152" i="1"/>
  <c r="BF153" i="1"/>
  <c r="BF154" i="1"/>
  <c r="BF155" i="1"/>
  <c r="BF156" i="1"/>
  <c r="BF157" i="1"/>
  <c r="BF158" i="1"/>
  <c r="BF159" i="1"/>
  <c r="BF160" i="1"/>
  <c r="BF161" i="1"/>
  <c r="BF57" i="1"/>
  <c r="BF56" i="1"/>
  <c r="BF55" i="1"/>
  <c r="BE62" i="1"/>
  <c r="BE63" i="1" s="1"/>
  <c r="BE64" i="1" s="1"/>
  <c r="BE65" i="1" s="1"/>
  <c r="BE66" i="1" s="1"/>
  <c r="BE67" i="1" s="1"/>
  <c r="BE68" i="1" s="1"/>
  <c r="BE69" i="1" s="1"/>
  <c r="BE70" i="1" s="1"/>
  <c r="BE71" i="1" s="1"/>
  <c r="BE72" i="1" s="1"/>
  <c r="BE73" i="1" s="1"/>
  <c r="BE74" i="1" s="1"/>
  <c r="BE75" i="1" s="1"/>
  <c r="BE76" i="1" s="1"/>
  <c r="BE77" i="1" s="1"/>
  <c r="BE78" i="1" s="1"/>
  <c r="BE79" i="1" s="1"/>
  <c r="BE80" i="1" s="1"/>
  <c r="BE81" i="1" s="1"/>
  <c r="BE82" i="1" s="1"/>
  <c r="BE83" i="1" s="1"/>
  <c r="BE84" i="1" s="1"/>
  <c r="BE85" i="1" s="1"/>
  <c r="BE86" i="1" s="1"/>
  <c r="BE87" i="1" s="1"/>
  <c r="BE88" i="1" s="1"/>
  <c r="BE89" i="1" s="1"/>
  <c r="BE90" i="1" s="1"/>
  <c r="BE91" i="1" s="1"/>
  <c r="BE92" i="1" s="1"/>
  <c r="BE93" i="1" s="1"/>
  <c r="BE94" i="1" s="1"/>
  <c r="BE95" i="1" s="1"/>
  <c r="BE96" i="1" s="1"/>
  <c r="BE97" i="1" s="1"/>
  <c r="BE98" i="1" s="1"/>
  <c r="BE99" i="1" s="1"/>
  <c r="BE100" i="1" s="1"/>
  <c r="BE101" i="1" s="1"/>
  <c r="BE102" i="1" s="1"/>
  <c r="BE103" i="1" s="1"/>
  <c r="BE104" i="1" s="1"/>
  <c r="BE105" i="1" s="1"/>
  <c r="BE106" i="1" s="1"/>
  <c r="BE107" i="1" s="1"/>
  <c r="BE108" i="1" s="1"/>
  <c r="BE109" i="1" s="1"/>
  <c r="BE110" i="1" s="1"/>
  <c r="BE111" i="1" s="1"/>
  <c r="BE112" i="1" s="1"/>
  <c r="BE113" i="1" s="1"/>
  <c r="BE114" i="1" s="1"/>
  <c r="BE115" i="1" s="1"/>
  <c r="BE116" i="1" s="1"/>
  <c r="BE117" i="1" s="1"/>
  <c r="BE118" i="1" s="1"/>
  <c r="BE119" i="1" s="1"/>
  <c r="BE120" i="1" s="1"/>
  <c r="BE121" i="1" s="1"/>
  <c r="BE122" i="1" s="1"/>
  <c r="BE123" i="1" s="1"/>
  <c r="BE124" i="1" s="1"/>
  <c r="BE125" i="1" s="1"/>
  <c r="BE126" i="1" s="1"/>
  <c r="BE127" i="1" s="1"/>
  <c r="BE128" i="1" s="1"/>
  <c r="BE129" i="1" s="1"/>
  <c r="BE130" i="1" s="1"/>
  <c r="BE131" i="1" s="1"/>
  <c r="BE132" i="1" s="1"/>
  <c r="BE133" i="1" s="1"/>
  <c r="BE134" i="1" s="1"/>
  <c r="BE135" i="1" s="1"/>
  <c r="BE136" i="1" s="1"/>
  <c r="BE137" i="1" s="1"/>
  <c r="BE138" i="1" s="1"/>
  <c r="BE139" i="1" s="1"/>
  <c r="BE140" i="1" s="1"/>
  <c r="BE141" i="1" s="1"/>
  <c r="BE142" i="1" s="1"/>
  <c r="BE143" i="1" s="1"/>
  <c r="BE144" i="1" s="1"/>
  <c r="BE145" i="1" s="1"/>
  <c r="BE146" i="1" s="1"/>
  <c r="BE147" i="1" s="1"/>
  <c r="BE148" i="1" s="1"/>
  <c r="BE149" i="1" s="1"/>
  <c r="BE150" i="1" s="1"/>
  <c r="BE151" i="1" s="1"/>
  <c r="BE152" i="1" s="1"/>
  <c r="BE153" i="1" s="1"/>
  <c r="BE154" i="1" s="1"/>
  <c r="BE155" i="1" s="1"/>
  <c r="BE156" i="1" s="1"/>
  <c r="BE157" i="1" s="1"/>
  <c r="BE158" i="1" s="1"/>
  <c r="BE159" i="1" s="1"/>
  <c r="BE160" i="1" s="1"/>
  <c r="BE161" i="1" s="1"/>
  <c r="BE61" i="1"/>
  <c r="BF50" i="1"/>
  <c r="BF45" i="1"/>
  <c r="BE43" i="1"/>
  <c r="BE42" i="1"/>
  <c r="BD40" i="1"/>
  <c r="BD39" i="1"/>
  <c r="AW42" i="1"/>
  <c r="AX42" i="1"/>
  <c r="AW43" i="1"/>
  <c r="AX43" i="1"/>
  <c r="AW44" i="1"/>
  <c r="AX44" i="1"/>
  <c r="AW45" i="1"/>
  <c r="AX45" i="1"/>
  <c r="AW46" i="1"/>
  <c r="AX46" i="1"/>
  <c r="AW47" i="1"/>
  <c r="AX47" i="1"/>
  <c r="AX41" i="1"/>
  <c r="AW41" i="1"/>
  <c r="AW57" i="1"/>
  <c r="AW55" i="1"/>
  <c r="AV42" i="1"/>
  <c r="AV43" i="1"/>
  <c r="AV44" i="1"/>
  <c r="AV45" i="1"/>
  <c r="AV46" i="1"/>
  <c r="AV47" i="1"/>
  <c r="AV41" i="1"/>
  <c r="AU42" i="1"/>
  <c r="AU43" i="1"/>
  <c r="AU44" i="1"/>
  <c r="AU45" i="1"/>
  <c r="AU46" i="1"/>
  <c r="AU47" i="1"/>
  <c r="AU41" i="1"/>
  <c r="AT42" i="1" a="1"/>
  <c r="AT42" i="1" s="1"/>
  <c r="AT43" i="1" a="1"/>
  <c r="AT43" i="1"/>
  <c r="AT44" i="1" a="1"/>
  <c r="AT44" i="1" s="1"/>
  <c r="AT45" i="1" a="1"/>
  <c r="AT45" i="1"/>
  <c r="AT46" i="1" a="1"/>
  <c r="AT46" i="1" s="1"/>
  <c r="AT47" i="1" a="1"/>
  <c r="AT47" i="1"/>
  <c r="AT41" i="1" a="1"/>
  <c r="AT41" i="1" s="1"/>
  <c r="AS42" i="1"/>
  <c r="AS43" i="1"/>
  <c r="AS44" i="1"/>
  <c r="AS45" i="1"/>
  <c r="AS46" i="1"/>
  <c r="AS47" i="1"/>
  <c r="AS41" i="1"/>
  <c r="AD11" i="1"/>
  <c r="T33" i="1" a="1"/>
  <c r="X34" i="1" s="1"/>
  <c r="T9" i="1"/>
  <c r="T8" i="1"/>
  <c r="AD8" i="1" s="1"/>
  <c r="M14" i="1"/>
  <c r="N14" i="1"/>
  <c r="M15" i="1"/>
  <c r="N15" i="1"/>
  <c r="M16" i="1"/>
  <c r="N16" i="1"/>
  <c r="M17" i="1"/>
  <c r="N17" i="1"/>
  <c r="M18" i="1"/>
  <c r="N18" i="1"/>
  <c r="M19" i="1"/>
  <c r="N19" i="1"/>
  <c r="M20" i="1"/>
  <c r="N20" i="1"/>
  <c r="M21" i="1"/>
  <c r="N21" i="1"/>
  <c r="M22" i="1"/>
  <c r="N22" i="1"/>
  <c r="M23" i="1"/>
  <c r="N23" i="1"/>
  <c r="M24" i="1"/>
  <c r="N24" i="1"/>
  <c r="M25" i="1"/>
  <c r="N25" i="1"/>
  <c r="M26" i="1"/>
  <c r="N26" i="1"/>
  <c r="M27" i="1"/>
  <c r="N27" i="1"/>
  <c r="M28" i="1"/>
  <c r="N28" i="1"/>
  <c r="M29" i="1"/>
  <c r="N29" i="1"/>
  <c r="M30" i="1"/>
  <c r="N30" i="1"/>
  <c r="M31" i="1"/>
  <c r="N31" i="1"/>
  <c r="M32" i="1"/>
  <c r="N32" i="1"/>
  <c r="M33" i="1"/>
  <c r="N33" i="1"/>
  <c r="M34" i="1"/>
  <c r="N34" i="1"/>
  <c r="M35" i="1"/>
  <c r="N35" i="1"/>
  <c r="M36" i="1"/>
  <c r="N36" i="1"/>
  <c r="M37" i="1"/>
  <c r="N37" i="1"/>
  <c r="M38" i="1"/>
  <c r="N38" i="1"/>
  <c r="M39" i="1"/>
  <c r="N39" i="1"/>
  <c r="M40" i="1"/>
  <c r="N40" i="1"/>
  <c r="M41" i="1"/>
  <c r="N41" i="1"/>
  <c r="M42" i="1"/>
  <c r="N42" i="1"/>
  <c r="M43" i="1"/>
  <c r="N43" i="1"/>
  <c r="M44" i="1"/>
  <c r="N44" i="1"/>
  <c r="M45" i="1"/>
  <c r="N45" i="1"/>
  <c r="M46" i="1"/>
  <c r="N46" i="1"/>
  <c r="M47" i="1"/>
  <c r="N47" i="1"/>
  <c r="M48" i="1"/>
  <c r="N48" i="1"/>
  <c r="M49" i="1"/>
  <c r="N49" i="1"/>
  <c r="M50" i="1"/>
  <c r="N50" i="1"/>
  <c r="M51" i="1"/>
  <c r="N51" i="1"/>
  <c r="M52" i="1"/>
  <c r="N52" i="1"/>
  <c r="M53" i="1"/>
  <c r="N53" i="1"/>
  <c r="M54" i="1"/>
  <c r="N54" i="1"/>
  <c r="M55" i="1"/>
  <c r="N55" i="1"/>
  <c r="M56" i="1"/>
  <c r="N56" i="1"/>
  <c r="M57" i="1"/>
  <c r="N57" i="1"/>
  <c r="M58" i="1"/>
  <c r="N58" i="1"/>
  <c r="M59" i="1"/>
  <c r="N59" i="1"/>
  <c r="M60" i="1"/>
  <c r="N60" i="1"/>
  <c r="M61" i="1"/>
  <c r="N61" i="1"/>
  <c r="M62" i="1"/>
  <c r="N62" i="1"/>
  <c r="M63" i="1"/>
  <c r="N63" i="1"/>
  <c r="M64" i="1"/>
  <c r="N64" i="1"/>
  <c r="M65" i="1"/>
  <c r="N65" i="1"/>
  <c r="M66" i="1"/>
  <c r="N66" i="1"/>
  <c r="M67" i="1"/>
  <c r="N67" i="1"/>
  <c r="M68" i="1"/>
  <c r="N68" i="1"/>
  <c r="M69" i="1"/>
  <c r="N69" i="1"/>
  <c r="M70" i="1"/>
  <c r="N70" i="1"/>
  <c r="M71" i="1"/>
  <c r="N71" i="1"/>
  <c r="M72" i="1"/>
  <c r="N72" i="1"/>
  <c r="N13" i="1"/>
  <c r="M13" i="1"/>
  <c r="J14" i="1"/>
  <c r="K14" i="1"/>
  <c r="L14" i="1"/>
  <c r="J15" i="1"/>
  <c r="K15" i="1"/>
  <c r="L15" i="1"/>
  <c r="J16" i="1"/>
  <c r="K16" i="1"/>
  <c r="L16" i="1"/>
  <c r="J17" i="1"/>
  <c r="K17" i="1"/>
  <c r="L17" i="1"/>
  <c r="J18" i="1"/>
  <c r="K18" i="1"/>
  <c r="L18" i="1"/>
  <c r="J19" i="1"/>
  <c r="K19" i="1"/>
  <c r="L19" i="1"/>
  <c r="J20" i="1"/>
  <c r="K20" i="1"/>
  <c r="L20" i="1"/>
  <c r="J21" i="1"/>
  <c r="K21" i="1"/>
  <c r="L21" i="1"/>
  <c r="J22" i="1"/>
  <c r="K22" i="1"/>
  <c r="L22" i="1"/>
  <c r="J23" i="1"/>
  <c r="K23" i="1"/>
  <c r="L23" i="1"/>
  <c r="J24" i="1"/>
  <c r="K24" i="1"/>
  <c r="L24" i="1"/>
  <c r="J25" i="1"/>
  <c r="K25" i="1"/>
  <c r="L25" i="1"/>
  <c r="J26" i="1"/>
  <c r="K26" i="1"/>
  <c r="L26" i="1"/>
  <c r="J27" i="1"/>
  <c r="K27" i="1"/>
  <c r="L27" i="1"/>
  <c r="J28" i="1"/>
  <c r="K28" i="1"/>
  <c r="L28" i="1"/>
  <c r="J29" i="1"/>
  <c r="K29" i="1"/>
  <c r="L29" i="1"/>
  <c r="J30" i="1"/>
  <c r="K30" i="1"/>
  <c r="L30" i="1"/>
  <c r="J31" i="1"/>
  <c r="K31" i="1"/>
  <c r="L31" i="1"/>
  <c r="J32" i="1"/>
  <c r="K32" i="1"/>
  <c r="L32" i="1"/>
  <c r="J33" i="1"/>
  <c r="K33" i="1"/>
  <c r="L33" i="1"/>
  <c r="J34" i="1"/>
  <c r="K34" i="1"/>
  <c r="L34" i="1"/>
  <c r="J35" i="1"/>
  <c r="K35" i="1"/>
  <c r="L35" i="1"/>
  <c r="J36" i="1"/>
  <c r="K36" i="1"/>
  <c r="L36" i="1"/>
  <c r="J37" i="1"/>
  <c r="K37" i="1"/>
  <c r="L37" i="1"/>
  <c r="J38" i="1"/>
  <c r="K38" i="1"/>
  <c r="L38" i="1"/>
  <c r="J39" i="1"/>
  <c r="K39" i="1"/>
  <c r="L39" i="1"/>
  <c r="J40" i="1"/>
  <c r="K40" i="1"/>
  <c r="L40" i="1"/>
  <c r="J41" i="1"/>
  <c r="K41" i="1"/>
  <c r="L41" i="1"/>
  <c r="J42" i="1"/>
  <c r="K42" i="1"/>
  <c r="L42" i="1"/>
  <c r="J43" i="1"/>
  <c r="K43" i="1"/>
  <c r="L43" i="1"/>
  <c r="J44" i="1"/>
  <c r="K44" i="1"/>
  <c r="L44" i="1"/>
  <c r="J45" i="1"/>
  <c r="K45" i="1"/>
  <c r="L45" i="1"/>
  <c r="J46" i="1"/>
  <c r="K46" i="1"/>
  <c r="L46" i="1"/>
  <c r="J47" i="1"/>
  <c r="K47" i="1"/>
  <c r="L47" i="1"/>
  <c r="J48" i="1"/>
  <c r="K48" i="1"/>
  <c r="L48" i="1"/>
  <c r="J49" i="1"/>
  <c r="K49" i="1"/>
  <c r="L49" i="1"/>
  <c r="J50" i="1"/>
  <c r="K50" i="1"/>
  <c r="L50" i="1"/>
  <c r="J51" i="1"/>
  <c r="K51" i="1"/>
  <c r="L51" i="1"/>
  <c r="J52" i="1"/>
  <c r="K52" i="1"/>
  <c r="L52" i="1"/>
  <c r="J53" i="1"/>
  <c r="K53" i="1"/>
  <c r="L53" i="1"/>
  <c r="J54" i="1"/>
  <c r="K54" i="1"/>
  <c r="L54" i="1"/>
  <c r="J55" i="1"/>
  <c r="K55" i="1"/>
  <c r="L55" i="1"/>
  <c r="J56" i="1"/>
  <c r="K56" i="1"/>
  <c r="L56" i="1"/>
  <c r="J57" i="1"/>
  <c r="K57" i="1"/>
  <c r="L57" i="1"/>
  <c r="J58" i="1"/>
  <c r="K58" i="1"/>
  <c r="L58" i="1"/>
  <c r="J59" i="1"/>
  <c r="K59" i="1"/>
  <c r="L59" i="1"/>
  <c r="J60" i="1"/>
  <c r="K60" i="1"/>
  <c r="L60" i="1"/>
  <c r="J61" i="1"/>
  <c r="K61" i="1"/>
  <c r="L61" i="1"/>
  <c r="J62" i="1"/>
  <c r="K62" i="1"/>
  <c r="L62" i="1"/>
  <c r="J63" i="1"/>
  <c r="K63" i="1"/>
  <c r="L63" i="1"/>
  <c r="J64" i="1"/>
  <c r="K64" i="1"/>
  <c r="L64" i="1"/>
  <c r="J65" i="1"/>
  <c r="K65" i="1"/>
  <c r="L65" i="1"/>
  <c r="J66" i="1"/>
  <c r="K66" i="1"/>
  <c r="L66" i="1"/>
  <c r="J67" i="1"/>
  <c r="K67" i="1"/>
  <c r="L67" i="1"/>
  <c r="J68" i="1"/>
  <c r="K68" i="1"/>
  <c r="L68" i="1"/>
  <c r="J69" i="1"/>
  <c r="K69" i="1"/>
  <c r="L69" i="1"/>
  <c r="J70" i="1"/>
  <c r="K70" i="1"/>
  <c r="L70" i="1"/>
  <c r="J71" i="1"/>
  <c r="K71" i="1"/>
  <c r="L71" i="1"/>
  <c r="J72" i="1"/>
  <c r="K72" i="1"/>
  <c r="L72" i="1"/>
  <c r="K13" i="1"/>
  <c r="L13" i="1"/>
  <c r="J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13" i="1"/>
  <c r="AH35" i="1" l="1" a="1"/>
  <c r="AL35" i="1" s="1"/>
  <c r="AC36" i="1" s="1"/>
  <c r="Y39" i="1"/>
  <c r="W37" i="1"/>
  <c r="U35" i="1"/>
  <c r="U39" i="1"/>
  <c r="Z36" i="1"/>
  <c r="T33" i="1"/>
  <c r="X33" i="1"/>
  <c r="U34" i="1"/>
  <c r="Y34" i="1"/>
  <c r="V35" i="1"/>
  <c r="Z35" i="1"/>
  <c r="W36" i="1"/>
  <c r="T37" i="1"/>
  <c r="X37" i="1"/>
  <c r="U38" i="1"/>
  <c r="Y38" i="1"/>
  <c r="V39" i="1"/>
  <c r="Z39" i="1"/>
  <c r="U33" i="1"/>
  <c r="Y33" i="1"/>
  <c r="V34" i="1"/>
  <c r="Z34" i="1"/>
  <c r="W35" i="1"/>
  <c r="T36" i="1"/>
  <c r="X36" i="1"/>
  <c r="U37" i="1"/>
  <c r="Y37" i="1"/>
  <c r="V38" i="1"/>
  <c r="Z38" i="1"/>
  <c r="W39" i="1"/>
  <c r="V33" i="1"/>
  <c r="Z33" i="1"/>
  <c r="W34" i="1"/>
  <c r="T35" i="1"/>
  <c r="X35" i="1"/>
  <c r="U36" i="1"/>
  <c r="Y36" i="1"/>
  <c r="V37" i="1"/>
  <c r="Z37" i="1"/>
  <c r="W38" i="1"/>
  <c r="T39" i="1"/>
  <c r="X39" i="1"/>
  <c r="X38" i="1"/>
  <c r="V36" i="1"/>
  <c r="T34" i="1"/>
  <c r="T38" i="1"/>
  <c r="Y35" i="1"/>
  <c r="W33" i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M38" i="1" l="1"/>
  <c r="AK36" i="1"/>
  <c r="AN38" i="1"/>
  <c r="AL36" i="1"/>
  <c r="AI39" i="1"/>
  <c r="AN36" i="1"/>
  <c r="AL39" i="1"/>
  <c r="AJ37" i="1"/>
  <c r="AH35" i="1"/>
  <c r="AC40" i="1" s="1"/>
  <c r="AI38" i="1"/>
  <c r="AN35" i="1"/>
  <c r="AC34" i="1" s="1"/>
  <c r="AJ38" i="1"/>
  <c r="AH36" i="1"/>
  <c r="AL38" i="1"/>
  <c r="AJ36" i="1"/>
  <c r="AH39" i="1"/>
  <c r="AM36" i="1"/>
  <c r="AL37" i="1"/>
  <c r="AK35" i="1"/>
  <c r="AC37" i="1" s="1"/>
  <c r="AM35" i="1"/>
  <c r="AC35" i="1" s="1"/>
  <c r="AK38" i="1"/>
  <c r="AI36" i="1"/>
  <c r="T24" i="1" a="1"/>
  <c r="Z24" i="1" s="1"/>
  <c r="AN39" i="1"/>
  <c r="AJ35" i="1"/>
  <c r="AC38" i="1" s="1"/>
  <c r="AM37" i="1"/>
  <c r="AH38" i="1"/>
  <c r="AJ39" i="1"/>
  <c r="AH37" i="1"/>
  <c r="AK39" i="1"/>
  <c r="AI37" i="1"/>
  <c r="AM39" i="1"/>
  <c r="AK37" i="1"/>
  <c r="AI35" i="1"/>
  <c r="AC39" i="1" s="1"/>
  <c r="AN37" i="1"/>
  <c r="W30" i="1" l="1"/>
  <c r="T27" i="1"/>
  <c r="Z26" i="1"/>
  <c r="U24" i="1"/>
  <c r="Y26" i="1"/>
  <c r="Z28" i="1"/>
  <c r="X26" i="1"/>
  <c r="U28" i="1"/>
  <c r="Z30" i="1"/>
  <c r="V26" i="1"/>
  <c r="W28" i="1"/>
  <c r="X30" i="1"/>
  <c r="T26" i="1"/>
  <c r="Z25" i="1"/>
  <c r="V30" i="1"/>
  <c r="V25" i="1"/>
  <c r="X25" i="1"/>
  <c r="W25" i="1"/>
  <c r="W26" i="1"/>
  <c r="U29" i="1"/>
  <c r="X24" i="1"/>
  <c r="T29" i="1"/>
  <c r="W24" i="1"/>
  <c r="V24" i="1"/>
  <c r="Z29" i="1"/>
  <c r="X28" i="1"/>
  <c r="T24" i="1"/>
  <c r="AH24" i="1" s="1" a="1"/>
  <c r="Y30" i="1"/>
  <c r="U26" i="1"/>
  <c r="V28" i="1"/>
  <c r="X27" i="1"/>
  <c r="T28" i="1"/>
  <c r="Y25" i="1"/>
  <c r="U30" i="1"/>
  <c r="Z27" i="1"/>
  <c r="T30" i="1"/>
  <c r="Y27" i="1"/>
  <c r="Y28" i="1"/>
  <c r="V29" i="1"/>
  <c r="Y29" i="1"/>
  <c r="W27" i="1"/>
  <c r="U25" i="1"/>
  <c r="Y24" i="1"/>
  <c r="X29" i="1"/>
  <c r="V27" i="1"/>
  <c r="T25" i="1"/>
  <c r="W29" i="1"/>
  <c r="U27" i="1"/>
  <c r="AH24" i="1" l="1"/>
  <c r="AH29" i="1"/>
  <c r="AM24" i="1"/>
  <c r="AH28" i="1"/>
  <c r="AL24" i="1"/>
  <c r="AN27" i="1"/>
  <c r="AK24" i="1"/>
  <c r="AM27" i="1"/>
  <c r="AJ24" i="1"/>
  <c r="AK28" i="1"/>
  <c r="AH25" i="1"/>
  <c r="AJ28" i="1"/>
  <c r="AN24" i="1"/>
  <c r="AL25" i="1"/>
  <c r="AI28" i="1"/>
  <c r="AL30" i="1"/>
  <c r="AI27" i="1"/>
  <c r="AK30" i="1"/>
  <c r="AH27" i="1"/>
  <c r="AJ30" i="1"/>
  <c r="AN26" i="1"/>
  <c r="AN30" i="1"/>
  <c r="AL27" i="1"/>
  <c r="AI24" i="1"/>
  <c r="AK27" i="1"/>
  <c r="AM30" i="1"/>
  <c r="AJ27" i="1"/>
  <c r="AM29" i="1"/>
  <c r="AJ26" i="1"/>
  <c r="AL29" i="1"/>
  <c r="AI26" i="1"/>
  <c r="AK29" i="1"/>
  <c r="AH26" i="1"/>
  <c r="AI30" i="1"/>
  <c r="AM26" i="1"/>
  <c r="AH30" i="1"/>
  <c r="AL26" i="1"/>
  <c r="AN29" i="1"/>
  <c r="AK26" i="1"/>
  <c r="AN28" i="1"/>
  <c r="AK25" i="1"/>
  <c r="AM28" i="1"/>
  <c r="AJ25" i="1"/>
  <c r="AL28" i="1"/>
  <c r="AI25" i="1"/>
  <c r="AJ29" i="1"/>
  <c r="AN25" i="1"/>
  <c r="AI29" i="1"/>
  <c r="AM25" i="1"/>
  <c r="AC24" i="1" l="1" a="1"/>
  <c r="AC24" i="1" s="1"/>
  <c r="AD9" i="1" l="1" a="1"/>
  <c r="AD9" i="1" s="1"/>
  <c r="AR26" i="1"/>
  <c r="AC25" i="1"/>
  <c r="AR27" i="1" s="1"/>
  <c r="AC29" i="1"/>
  <c r="AR31" i="1" s="1"/>
  <c r="AC30" i="1"/>
  <c r="AR32" i="1" s="1"/>
  <c r="AC27" i="1"/>
  <c r="AR29" i="1" s="1"/>
  <c r="AC28" i="1"/>
  <c r="AR30" i="1" s="1"/>
  <c r="AC26" i="1"/>
  <c r="AR28" i="1" s="1"/>
  <c r="AW26" i="1" l="1" a="1"/>
  <c r="AW26" i="1" s="1"/>
  <c r="AS10" i="1"/>
  <c r="AS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<sst xmlns="http://schemas.openxmlformats.org/spreadsheetml/2006/main" count="182" uniqueCount="126">
  <si>
    <t>rok</t>
  </si>
  <si>
    <t>Zmienne:</t>
  </si>
  <si>
    <t>Karty</t>
  </si>
  <si>
    <t>kwartał</t>
  </si>
  <si>
    <t>Wyplaty_gotowki</t>
  </si>
  <si>
    <t>Bankomaty</t>
  </si>
  <si>
    <t>Wnioskowanie bayesowskie w ekonomii empirycznej (Analityka gospodarcza)</t>
  </si>
  <si>
    <t>W(t)</t>
  </si>
  <si>
    <t>B(t)</t>
  </si>
  <si>
    <t>K(t)</t>
  </si>
  <si>
    <t>OCENY PUNKTOWE</t>
  </si>
  <si>
    <t>OCENY NIEPEWNOŚCI ESTYMACJI PUNKTOWEJ</t>
  </si>
  <si>
    <t>ESTYMACJA PRZEDZIAŁOWA (1-alfa = 0,95)</t>
  </si>
  <si>
    <t>A (przedz. ufn.)</t>
  </si>
  <si>
    <t>B (HPD)</t>
  </si>
  <si>
    <t>C (HPD)</t>
  </si>
  <si>
    <t>A (MNK)</t>
  </si>
  <si>
    <t>B (E, Mo, Me)</t>
  </si>
  <si>
    <t>C (E, Mo, Me)</t>
  </si>
  <si>
    <t>A (błędy śr. szac.)</t>
  </si>
  <si>
    <t>B (odch. std. a post.)</t>
  </si>
  <si>
    <t>C (odch. std. a post.)</t>
  </si>
  <si>
    <t>left</t>
  </si>
  <si>
    <t>right</t>
  </si>
  <si>
    <t>beta0</t>
  </si>
  <si>
    <t>beta1</t>
  </si>
  <si>
    <t>beta2</t>
  </si>
  <si>
    <t>beta3</t>
  </si>
  <si>
    <t>beta4</t>
  </si>
  <si>
    <t>beta5</t>
  </si>
  <si>
    <t>beta6</t>
  </si>
  <si>
    <t>Wariant</t>
  </si>
  <si>
    <t>Parametr</t>
  </si>
  <si>
    <t>"Wyplaty_gotowki" - wartość wypłat gotówki w bankomatach w Polsce (w mln zł)</t>
  </si>
  <si>
    <t>"Bankomaty" - liczba bankomatów w Polsce (w setkach szt.)</t>
  </si>
  <si>
    <t>"Karty" - liczba wydanych kart płatniczych (w tys. szt.)</t>
  </si>
  <si>
    <t>Źródło: NBP, https://nbp.pl/system-platniczy/dane-i-analizy/karty-platnicze/  [dostęp 1.10.2023]</t>
  </si>
  <si>
    <t>Dane kwartalne, z okresu 2005Q1-2019Q4</t>
  </si>
  <si>
    <t>y</t>
  </si>
  <si>
    <t>X</t>
  </si>
  <si>
    <t>"1"</t>
  </si>
  <si>
    <t>t</t>
  </si>
  <si>
    <t>Qt2</t>
  </si>
  <si>
    <t>Qt3</t>
  </si>
  <si>
    <t>Qt4</t>
  </si>
  <si>
    <t>Specyfikacja rozkładu a priori</t>
  </si>
  <si>
    <t>Rozkład a priori dla tau (= precyzji składnika losowego = odwrotność sigma^2)</t>
  </si>
  <si>
    <t>E(tau)=</t>
  </si>
  <si>
    <t>Var(tau)=</t>
  </si>
  <si>
    <t>n0=</t>
  </si>
  <si>
    <t>s0=</t>
  </si>
  <si>
    <t>Rozkład a priori dla beta (= wektor parametrów strukturalnych)</t>
  </si>
  <si>
    <r>
      <rPr>
        <sz val="11"/>
        <color rgb="FF00B050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= E(beta|tau) = E(beta) (bo n0&gt;1)</t>
    </r>
  </si>
  <si>
    <t>k=</t>
  </si>
  <si>
    <t>(liczba parametrów strukturalnych = współrzędnych wektora beta)</t>
  </si>
  <si>
    <t>V(beta) = 100*I_k</t>
  </si>
  <si>
    <t>C</t>
  </si>
  <si>
    <t>Obliczenie wielkości potrzebnych do rozkładu a posteriori</t>
  </si>
  <si>
    <t>Dla parametru tau:</t>
  </si>
  <si>
    <t>n_kreska=</t>
  </si>
  <si>
    <t>s_kreska=</t>
  </si>
  <si>
    <t>T=</t>
  </si>
  <si>
    <t>Dla wektora beta:</t>
  </si>
  <si>
    <t>C_kreska (k x k)</t>
  </si>
  <si>
    <t>a_kreska (k x 1)</t>
  </si>
  <si>
    <t>beta^0</t>
  </si>
  <si>
    <t>beta^1</t>
  </si>
  <si>
    <t>beta^2</t>
  </si>
  <si>
    <t>beta^3</t>
  </si>
  <si>
    <t>beta^4</t>
  </si>
  <si>
    <t>beta^5</t>
  </si>
  <si>
    <t>beta^6</t>
  </si>
  <si>
    <t>beta^ = (X'X)^(-1)X'y  (k x 1) &lt;-- weźmiemy z REGLINP</t>
  </si>
  <si>
    <t>REGLINP (5 x k) - w wersji "full" (tj. [statystyka = 1])</t>
  </si>
  <si>
    <t>Wyznaczenie charakterystyk rozkładów a posteriori</t>
  </si>
  <si>
    <t>E(tau|y)=</t>
  </si>
  <si>
    <t>D(tau|y)=</t>
  </si>
  <si>
    <t>Pozostałych charakterystyk NIE wyznaczamy, gdyż parametr tau jest tylko parametrem incydentalnym (zakłócającym; ang. nuisance parameter), więc tym samym nie stanowi centralnego przedmiotu naszego zainteresowania</t>
  </si>
  <si>
    <t>E(beta|y) = Mo(beta|y) = a_kres</t>
  </si>
  <si>
    <t>V(beta|y) [k x k] = [7 x 7]</t>
  </si>
  <si>
    <t>Charakterystyki w rozkładzie ŁĄCZNYM a posteriori wektora beta:</t>
  </si>
  <si>
    <t>Charakterystyki w rozkładach BRZEGOWYCH a posteriori poszczególnych parametrów strukturalnych, beta(i), i = 0, 1, …, k-1</t>
  </si>
  <si>
    <t>i</t>
  </si>
  <si>
    <t>beta(i)</t>
  </si>
  <si>
    <t>E(beta(i)|y)</t>
  </si>
  <si>
    <t>a_kres(i) = E(beta(i)|y) = Mo(beta(i)|y) = Me(beta(i)|y) - ponieważ rozkład t-Studenta jest symetryczny i jednomodalny</t>
  </si>
  <si>
    <t>Var(beta(i)|y)</t>
  </si>
  <si>
    <t>D(beta(i)|y)</t>
  </si>
  <si>
    <t>Końce przedziałów HPD</t>
  </si>
  <si>
    <t>1-alfa=</t>
  </si>
  <si>
    <t>Poziom p-stwa a posteriori dla przedziałów HPD - to NIE jest poziom ufności:</t>
  </si>
  <si>
    <t>alfa=</t>
  </si>
  <si>
    <t>t_alfa/2=</t>
  </si>
  <si>
    <t>Wykres funkcji gęstości rozkładów a posteriori i a priori parametru beta5</t>
  </si>
  <si>
    <t>Ustalamy siatkę punktów na osi OX</t>
  </si>
  <si>
    <t>E(beta5|y)=</t>
  </si>
  <si>
    <t>D(beta5|y)=</t>
  </si>
  <si>
    <t>Minimum = E - 4*D =</t>
  </si>
  <si>
    <t>Maximum = E + 4*D =</t>
  </si>
  <si>
    <t>Zaokrąglamy do "ładnych" liczb całkowitych</t>
  </si>
  <si>
    <t>Rozstęp = długość zakresu na OX:</t>
  </si>
  <si>
    <t>Ilość znaczników na OX =</t>
  </si>
  <si>
    <t>Odległość pom. dwoma</t>
  </si>
  <si>
    <t>kolejnymi znacznikami na OX =</t>
  </si>
  <si>
    <t xml:space="preserve">&lt;-- dwustronna wartość krytyczna w </t>
  </si>
  <si>
    <t>rozkładzie t-Studenta(0, 1, n_kres)</t>
  </si>
  <si>
    <t>oś OX</t>
  </si>
  <si>
    <t>minimum</t>
  </si>
  <si>
    <t>maximum</t>
  </si>
  <si>
    <t>p(beta5|y)</t>
  </si>
  <si>
    <t>p(beta5|y) = f_St(beta5 | a_kres(5), P_kres(5), n_kres)</t>
  </si>
  <si>
    <t>W tym poniższym wzorze:</t>
  </si>
  <si>
    <t>m = a_kres(5)</t>
  </si>
  <si>
    <t>p = P_kres(5)</t>
  </si>
  <si>
    <t>v = n_kres</t>
  </si>
  <si>
    <t>a_kres(5)</t>
  </si>
  <si>
    <t>P_kres(5)</t>
  </si>
  <si>
    <t>n_kres</t>
  </si>
  <si>
    <r>
      <rPr>
        <sz val="11"/>
        <color rgb="FFFF0000"/>
        <rFont val="Calibri"/>
        <family val="2"/>
        <charset val="238"/>
        <scheme val="minor"/>
      </rPr>
      <t>P_kres(i)=</t>
    </r>
    <r>
      <rPr>
        <sz val="11"/>
        <color theme="1"/>
        <rFont val="Calibri"/>
        <family val="2"/>
        <charset val="238"/>
        <scheme val="minor"/>
      </rPr>
      <t>Prec(beta(i)|y)</t>
    </r>
  </si>
  <si>
    <t>p(beta5)</t>
  </si>
  <si>
    <t>&lt;-- P_5</t>
  </si>
  <si>
    <t>&lt;-- n0</t>
  </si>
  <si>
    <t>&lt;-- a_5</t>
  </si>
  <si>
    <t>Var(beta(i))</t>
  </si>
  <si>
    <t>P_(i)=Prec(beta(i))</t>
  </si>
  <si>
    <t>&lt;-- potrzebna do wykresu funkcji gęstości rozkładu a priori beta5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</si>
</sst>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76">
    <xf numFmtId="0" fontId="0" fillId="0" borderId="0" xfId="0"/>
    <xf numFmtId="0" fontId="1" fillId="0" borderId="0" xfId="0" applyFont="1"/>
    <xf numFmtId="0" fontId="3" fillId="0" borderId="0" xfId="1" applyFont="1"/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0" fillId="0" borderId="0" xfId="0" applyFill="1"/>
    <xf numFmtId="0" fontId="4" fillId="0" borderId="0" xfId="2" applyFill="1" applyBorder="1"/>
    <xf numFmtId="0" fontId="0" fillId="0" borderId="0" xfId="0" applyFont="1"/>
    <xf numFmtId="0" fontId="0" fillId="0" borderId="0" xfId="0" applyFont="1" applyFill="1"/>
    <xf numFmtId="0" fontId="5" fillId="0" borderId="0" xfId="1" applyFont="1" applyAlignment="1">
      <alignment horizontal="right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0" xfId="0" applyBorder="1" applyAlignment="1"/>
    <xf numFmtId="0" fontId="0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7" xfId="0" applyFill="1" applyBorder="1"/>
    <xf numFmtId="0" fontId="0" fillId="0" borderId="18" xfId="0" applyFill="1" applyBorder="1"/>
    <xf numFmtId="0" fontId="0" fillId="0" borderId="18" xfId="0" applyBorder="1"/>
    <xf numFmtId="0" fontId="0" fillId="0" borderId="18" xfId="0" applyBorder="1" applyAlignment="1"/>
    <xf numFmtId="0" fontId="0" fillId="0" borderId="8" xfId="0" applyBorder="1" applyAlignment="1"/>
    <xf numFmtId="0" fontId="0" fillId="0" borderId="19" xfId="0" applyFill="1" applyBorder="1"/>
    <xf numFmtId="0" fontId="0" fillId="0" borderId="20" xfId="0" applyBorder="1" applyAlignment="1"/>
    <xf numFmtId="0" fontId="0" fillId="0" borderId="21" xfId="0" applyFill="1" applyBorder="1"/>
    <xf numFmtId="0" fontId="0" fillId="0" borderId="22" xfId="0" applyFill="1" applyBorder="1"/>
    <xf numFmtId="0" fontId="0" fillId="0" borderId="22" xfId="0" applyBorder="1"/>
    <xf numFmtId="0" fontId="0" fillId="0" borderId="22" xfId="0" applyBorder="1" applyAlignment="1"/>
    <xf numFmtId="0" fontId="0" fillId="0" borderId="23" xfId="0" applyBorder="1" applyAlignment="1"/>
    <xf numFmtId="0" fontId="6" fillId="0" borderId="0" xfId="0" applyFont="1"/>
    <xf numFmtId="0" fontId="7" fillId="0" borderId="7" xfId="0" applyFont="1" applyBorder="1"/>
    <xf numFmtId="0" fontId="1" fillId="0" borderId="8" xfId="0" applyFont="1" applyBorder="1"/>
    <xf numFmtId="0" fontId="7" fillId="0" borderId="21" xfId="0" applyFont="1" applyBorder="1"/>
    <xf numFmtId="0" fontId="1" fillId="0" borderId="2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7" fillId="0" borderId="0" xfId="0" applyFont="1" applyBorder="1"/>
    <xf numFmtId="0" fontId="1" fillId="0" borderId="0" xfId="0" applyFont="1" applyBorder="1"/>
    <xf numFmtId="0" fontId="5" fillId="0" borderId="0" xfId="0" applyFont="1" applyBorder="1"/>
    <xf numFmtId="0" fontId="8" fillId="0" borderId="7" xfId="0" applyFont="1" applyBorder="1"/>
    <xf numFmtId="0" fontId="8" fillId="0" borderId="18" xfId="0" applyFont="1" applyBorder="1"/>
    <xf numFmtId="0" fontId="8" fillId="0" borderId="8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9" fillId="0" borderId="0" xfId="0" applyFont="1" applyBorder="1"/>
    <xf numFmtId="0" fontId="0" fillId="0" borderId="5" xfId="0" applyFill="1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5" xfId="0" applyFill="1" applyBorder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9" fillId="0" borderId="0" xfId="0" applyFont="1" applyFill="1" applyBorder="1"/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089767020431921"/>
          <c:y val="0.15052213413997437"/>
          <c:w val="0.8853737437974345"/>
          <c:h val="0.76945213110311494"/>
        </c:manualLayout>
      </c:layout>
      <c:lineChart>
        <c:grouping val="standard"/>
        <c:varyColors val="0"/>
        <c:ser>
          <c:idx val="0"/>
          <c:order val="0"/>
          <c:tx>
            <c:strRef>
              <c:f>Dane!$C$12</c:f>
              <c:strCache>
                <c:ptCount val="1"/>
                <c:pt idx="0">
                  <c:v>W(t)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Dane!$C$13:$C$72</c:f>
              <c:numCache>
                <c:formatCode>General</c:formatCode>
                <c:ptCount val="60"/>
                <c:pt idx="0">
                  <c:v>33602.913760000003</c:v>
                </c:pt>
                <c:pt idx="1">
                  <c:v>37318.837735000001</c:v>
                </c:pt>
                <c:pt idx="2">
                  <c:v>38705.392007000002</c:v>
                </c:pt>
                <c:pt idx="3">
                  <c:v>40058.736977</c:v>
                </c:pt>
                <c:pt idx="4">
                  <c:v>37579.018407000003</c:v>
                </c:pt>
                <c:pt idx="5">
                  <c:v>42324.750375000003</c:v>
                </c:pt>
                <c:pt idx="6">
                  <c:v>44364.791266</c:v>
                </c:pt>
                <c:pt idx="7">
                  <c:v>46634.227725999997</c:v>
                </c:pt>
                <c:pt idx="8">
                  <c:v>45808.988483000001</c:v>
                </c:pt>
                <c:pt idx="9">
                  <c:v>50828.95319</c:v>
                </c:pt>
                <c:pt idx="10">
                  <c:v>53021.972398999998</c:v>
                </c:pt>
                <c:pt idx="11">
                  <c:v>54586.077058000003</c:v>
                </c:pt>
                <c:pt idx="12">
                  <c:v>50657.570043</c:v>
                </c:pt>
                <c:pt idx="13">
                  <c:v>58474.261843</c:v>
                </c:pt>
                <c:pt idx="14">
                  <c:v>60679.055634999997</c:v>
                </c:pt>
                <c:pt idx="15">
                  <c:v>60701.402283000003</c:v>
                </c:pt>
                <c:pt idx="16">
                  <c:v>55933.562062999998</c:v>
                </c:pt>
                <c:pt idx="17">
                  <c:v>62819.729528999997</c:v>
                </c:pt>
                <c:pt idx="18">
                  <c:v>64738.760225999999</c:v>
                </c:pt>
                <c:pt idx="19">
                  <c:v>63430.417705</c:v>
                </c:pt>
                <c:pt idx="20">
                  <c:v>58529.909031000003</c:v>
                </c:pt>
                <c:pt idx="21">
                  <c:v>64860.832703</c:v>
                </c:pt>
                <c:pt idx="22">
                  <c:v>68175.792285000003</c:v>
                </c:pt>
                <c:pt idx="23">
                  <c:v>66854.695598999999</c:v>
                </c:pt>
                <c:pt idx="24">
                  <c:v>62096.668037000003</c:v>
                </c:pt>
                <c:pt idx="25">
                  <c:v>70664.099925999995</c:v>
                </c:pt>
                <c:pt idx="26">
                  <c:v>72340.903619999997</c:v>
                </c:pt>
                <c:pt idx="27">
                  <c:v>72694.405287000001</c:v>
                </c:pt>
                <c:pt idx="28">
                  <c:v>66350.150739000004</c:v>
                </c:pt>
                <c:pt idx="29">
                  <c:v>72499.083404999998</c:v>
                </c:pt>
                <c:pt idx="30">
                  <c:v>74605.804109000004</c:v>
                </c:pt>
                <c:pt idx="31">
                  <c:v>72211.508877999993</c:v>
                </c:pt>
                <c:pt idx="32">
                  <c:v>67034.369783999995</c:v>
                </c:pt>
                <c:pt idx="33">
                  <c:v>73754.302972000005</c:v>
                </c:pt>
                <c:pt idx="34">
                  <c:v>77633.761452000006</c:v>
                </c:pt>
                <c:pt idx="35">
                  <c:v>75834.407705000005</c:v>
                </c:pt>
                <c:pt idx="36">
                  <c:v>69852.187491999997</c:v>
                </c:pt>
                <c:pt idx="37">
                  <c:v>77084.831644000005</c:v>
                </c:pt>
                <c:pt idx="38">
                  <c:v>78026.801374999995</c:v>
                </c:pt>
                <c:pt idx="39">
                  <c:v>75528.880665000004</c:v>
                </c:pt>
                <c:pt idx="40">
                  <c:v>69060.220042000001</c:v>
                </c:pt>
                <c:pt idx="41">
                  <c:v>75161.716558726417</c:v>
                </c:pt>
                <c:pt idx="42">
                  <c:v>79404.042794982844</c:v>
                </c:pt>
                <c:pt idx="43">
                  <c:v>76732.304621634787</c:v>
                </c:pt>
                <c:pt idx="44">
                  <c:v>69971.644534158913</c:v>
                </c:pt>
                <c:pt idx="45">
                  <c:v>79728.530367219006</c:v>
                </c:pt>
                <c:pt idx="46">
                  <c:v>81927.609626932521</c:v>
                </c:pt>
                <c:pt idx="47">
                  <c:v>79754.655689456267</c:v>
                </c:pt>
                <c:pt idx="48">
                  <c:v>73279.566121051263</c:v>
                </c:pt>
                <c:pt idx="49">
                  <c:v>82862.916310778281</c:v>
                </c:pt>
                <c:pt idx="50">
                  <c:v>84895.489913365935</c:v>
                </c:pt>
                <c:pt idx="51">
                  <c:v>83085.705236209993</c:v>
                </c:pt>
                <c:pt idx="52">
                  <c:v>76223.564862550003</c:v>
                </c:pt>
                <c:pt idx="53">
                  <c:v>84848.905851589996</c:v>
                </c:pt>
                <c:pt idx="54">
                  <c:v>86796.947939899997</c:v>
                </c:pt>
                <c:pt idx="55">
                  <c:v>85151.78049491001</c:v>
                </c:pt>
                <c:pt idx="56">
                  <c:v>77629.538573030004</c:v>
                </c:pt>
                <c:pt idx="57">
                  <c:v>87338.967535689997</c:v>
                </c:pt>
                <c:pt idx="58">
                  <c:v>89457.211009710009</c:v>
                </c:pt>
                <c:pt idx="59">
                  <c:v>87958.106180839997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BA-44A1-9140-542412AD2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7580128"/>
        <c:axId val="2127579296"/>
      </c:lineChart>
      <c:catAx>
        <c:axId val="21275801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27579296"/>
        <c:crosses val="autoZero"/>
        <c:auto val="1"/>
        <c:lblAlgn val="ctr"/>
        <c:lblOffset val="100"/>
        <c:noMultiLvlLbl val="0"/>
      </c:catAx>
      <c:valAx>
        <c:axId val="212757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2758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Dane!$E$12</c:f>
              <c:strCache>
                <c:ptCount val="1"/>
                <c:pt idx="0">
                  <c:v>K(t)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Dane!$E$13:$E$72</c:f>
              <c:numCache>
                <c:formatCode>General</c:formatCode>
                <c:ptCount val="60"/>
                <c:pt idx="0">
                  <c:v>18188.341</c:v>
                </c:pt>
                <c:pt idx="1">
                  <c:v>18844.100999999999</c:v>
                </c:pt>
                <c:pt idx="2">
                  <c:v>19492.017</c:v>
                </c:pt>
                <c:pt idx="3">
                  <c:v>20370.311000000002</c:v>
                </c:pt>
                <c:pt idx="4">
                  <c:v>21168.516</c:v>
                </c:pt>
                <c:pt idx="5">
                  <c:v>21904.067999999999</c:v>
                </c:pt>
                <c:pt idx="6">
                  <c:v>22632.85</c:v>
                </c:pt>
                <c:pt idx="7">
                  <c:v>23848.048999999999</c:v>
                </c:pt>
                <c:pt idx="8">
                  <c:v>24344.743999999999</c:v>
                </c:pt>
                <c:pt idx="9">
                  <c:v>24919.412</c:v>
                </c:pt>
                <c:pt idx="10">
                  <c:v>25910.355</c:v>
                </c:pt>
                <c:pt idx="11">
                  <c:v>26496.16</c:v>
                </c:pt>
                <c:pt idx="12">
                  <c:v>27283.164000000001</c:v>
                </c:pt>
                <c:pt idx="13">
                  <c:v>28194.669000000002</c:v>
                </c:pt>
                <c:pt idx="14">
                  <c:v>29165.455999999998</c:v>
                </c:pt>
                <c:pt idx="15">
                  <c:v>30275.46</c:v>
                </c:pt>
                <c:pt idx="16">
                  <c:v>31080.057000000001</c:v>
                </c:pt>
                <c:pt idx="17">
                  <c:v>31745.440999999999</c:v>
                </c:pt>
                <c:pt idx="18">
                  <c:v>32485.847000000002</c:v>
                </c:pt>
                <c:pt idx="19">
                  <c:v>33212.656000000003</c:v>
                </c:pt>
                <c:pt idx="20">
                  <c:v>32803.370000000003</c:v>
                </c:pt>
                <c:pt idx="21">
                  <c:v>32206.828000000001</c:v>
                </c:pt>
                <c:pt idx="22">
                  <c:v>32094.646000000001</c:v>
                </c:pt>
                <c:pt idx="23">
                  <c:v>31983.793000000001</c:v>
                </c:pt>
                <c:pt idx="24">
                  <c:v>31955.817999999999</c:v>
                </c:pt>
                <c:pt idx="25">
                  <c:v>32886.192999999999</c:v>
                </c:pt>
                <c:pt idx="26">
                  <c:v>31727.071</c:v>
                </c:pt>
                <c:pt idx="27">
                  <c:v>32044.946</c:v>
                </c:pt>
                <c:pt idx="28">
                  <c:v>32031.120999999999</c:v>
                </c:pt>
                <c:pt idx="29">
                  <c:v>32673.521000000001</c:v>
                </c:pt>
                <c:pt idx="30">
                  <c:v>33166.864000000001</c:v>
                </c:pt>
                <c:pt idx="31">
                  <c:v>33291.110999999997</c:v>
                </c:pt>
                <c:pt idx="32">
                  <c:v>33644.319000000003</c:v>
                </c:pt>
                <c:pt idx="33">
                  <c:v>34401.978000000003</c:v>
                </c:pt>
                <c:pt idx="34">
                  <c:v>34896.921000000002</c:v>
                </c:pt>
                <c:pt idx="35">
                  <c:v>34658.65</c:v>
                </c:pt>
                <c:pt idx="36">
                  <c:v>34744.93</c:v>
                </c:pt>
                <c:pt idx="37">
                  <c:v>35172.203000000001</c:v>
                </c:pt>
                <c:pt idx="38">
                  <c:v>35509.286999999997</c:v>
                </c:pt>
                <c:pt idx="39">
                  <c:v>36068.822</c:v>
                </c:pt>
                <c:pt idx="40">
                  <c:v>35554.724000000002</c:v>
                </c:pt>
                <c:pt idx="41">
                  <c:v>34358.048999999999</c:v>
                </c:pt>
                <c:pt idx="42">
                  <c:v>34743.084000000003</c:v>
                </c:pt>
                <c:pt idx="43">
                  <c:v>35209.042999999998</c:v>
                </c:pt>
                <c:pt idx="44">
                  <c:v>35301.635999999999</c:v>
                </c:pt>
                <c:pt idx="45">
                  <c:v>35750.296000000002</c:v>
                </c:pt>
                <c:pt idx="46">
                  <c:v>36289.436000000002</c:v>
                </c:pt>
                <c:pt idx="47">
                  <c:v>36874.489000000001</c:v>
                </c:pt>
                <c:pt idx="48">
                  <c:v>37736.849000000002</c:v>
                </c:pt>
                <c:pt idx="49">
                  <c:v>37937.381999999998</c:v>
                </c:pt>
                <c:pt idx="50">
                  <c:v>38513.266000000003</c:v>
                </c:pt>
                <c:pt idx="51">
                  <c:v>39095.879999999997</c:v>
                </c:pt>
                <c:pt idx="52">
                  <c:v>39590.843999999997</c:v>
                </c:pt>
                <c:pt idx="53">
                  <c:v>40248.815999999999</c:v>
                </c:pt>
                <c:pt idx="54">
                  <c:v>40420.303</c:v>
                </c:pt>
                <c:pt idx="55">
                  <c:v>41237.32</c:v>
                </c:pt>
                <c:pt idx="56">
                  <c:v>41729.148000000001</c:v>
                </c:pt>
                <c:pt idx="57">
                  <c:v>42174.675000000003</c:v>
                </c:pt>
                <c:pt idx="58">
                  <c:v>42237.803</c:v>
                </c:pt>
                <c:pt idx="59">
                  <c:v>42989.875999999997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A7-4FAE-ACB1-884C6BBAE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209200"/>
        <c:axId val="157212528"/>
      </c:lineChart>
      <c:lineChart>
        <c:grouping val="standard"/>
        <c:varyColors val="0"/>
        <c:ser>
          <c:idx val="0"/>
          <c:order val="0"/>
          <c:tx>
            <c:strRef>
              <c:f>Dane!$D$12</c:f>
              <c:strCache>
                <c:ptCount val="1"/>
                <c:pt idx="0">
                  <c:v>B(t)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Dane!$D$13:$D$72</c:f>
              <c:numCache>
                <c:formatCode>General</c:formatCode>
                <c:ptCount val="60"/>
                <c:pt idx="0">
                  <c:v>82.63</c:v>
                </c:pt>
                <c:pt idx="1">
                  <c:v>84.67</c:v>
                </c:pt>
                <c:pt idx="2">
                  <c:v>85.44</c:v>
                </c:pt>
                <c:pt idx="3">
                  <c:v>87.76</c:v>
                </c:pt>
                <c:pt idx="4">
                  <c:v>89.64</c:v>
                </c:pt>
                <c:pt idx="5">
                  <c:v>91.48</c:v>
                </c:pt>
                <c:pt idx="6">
                  <c:v>94</c:v>
                </c:pt>
                <c:pt idx="7">
                  <c:v>99.38</c:v>
                </c:pt>
                <c:pt idx="8">
                  <c:v>102.69</c:v>
                </c:pt>
                <c:pt idx="9">
                  <c:v>105.78</c:v>
                </c:pt>
                <c:pt idx="10">
                  <c:v>110.98</c:v>
                </c:pt>
                <c:pt idx="11">
                  <c:v>115.42</c:v>
                </c:pt>
                <c:pt idx="12">
                  <c:v>121.74</c:v>
                </c:pt>
                <c:pt idx="13">
                  <c:v>126.7</c:v>
                </c:pt>
                <c:pt idx="14">
                  <c:v>132.08000000000001</c:v>
                </c:pt>
                <c:pt idx="15">
                  <c:v>138.78</c:v>
                </c:pt>
                <c:pt idx="16">
                  <c:v>144.77000000000001</c:v>
                </c:pt>
                <c:pt idx="17">
                  <c:v>145.47999999999999</c:v>
                </c:pt>
                <c:pt idx="18">
                  <c:v>153.53</c:v>
                </c:pt>
                <c:pt idx="19">
                  <c:v>157.13999999999999</c:v>
                </c:pt>
                <c:pt idx="20">
                  <c:v>162.56</c:v>
                </c:pt>
                <c:pt idx="21">
                  <c:v>160.16999999999999</c:v>
                </c:pt>
                <c:pt idx="22">
                  <c:v>162.81</c:v>
                </c:pt>
                <c:pt idx="23">
                  <c:v>164.13</c:v>
                </c:pt>
                <c:pt idx="24">
                  <c:v>164.56</c:v>
                </c:pt>
                <c:pt idx="25">
                  <c:v>168.9</c:v>
                </c:pt>
                <c:pt idx="26">
                  <c:v>169.71</c:v>
                </c:pt>
                <c:pt idx="27">
                  <c:v>173.92</c:v>
                </c:pt>
                <c:pt idx="28">
                  <c:v>176.4</c:v>
                </c:pt>
                <c:pt idx="29">
                  <c:v>178.15</c:v>
                </c:pt>
                <c:pt idx="30">
                  <c:v>178.24</c:v>
                </c:pt>
                <c:pt idx="31">
                  <c:v>181.88</c:v>
                </c:pt>
                <c:pt idx="32">
                  <c:v>184.34</c:v>
                </c:pt>
                <c:pt idx="33">
                  <c:v>184.82</c:v>
                </c:pt>
                <c:pt idx="34">
                  <c:v>185.87</c:v>
                </c:pt>
                <c:pt idx="35">
                  <c:v>188.76</c:v>
                </c:pt>
                <c:pt idx="36">
                  <c:v>191.08</c:v>
                </c:pt>
                <c:pt idx="37">
                  <c:v>195.13</c:v>
                </c:pt>
                <c:pt idx="38">
                  <c:v>196.95</c:v>
                </c:pt>
                <c:pt idx="39">
                  <c:v>205.31</c:v>
                </c:pt>
                <c:pt idx="40">
                  <c:v>209.36</c:v>
                </c:pt>
                <c:pt idx="41">
                  <c:v>211.18</c:v>
                </c:pt>
                <c:pt idx="42">
                  <c:v>216.47</c:v>
                </c:pt>
                <c:pt idx="43">
                  <c:v>221.43</c:v>
                </c:pt>
                <c:pt idx="44">
                  <c:v>224.36</c:v>
                </c:pt>
                <c:pt idx="45">
                  <c:v>226.66</c:v>
                </c:pt>
                <c:pt idx="46">
                  <c:v>226.66</c:v>
                </c:pt>
                <c:pt idx="47">
                  <c:v>234.43</c:v>
                </c:pt>
                <c:pt idx="48">
                  <c:v>237.51</c:v>
                </c:pt>
                <c:pt idx="49">
                  <c:v>235.28</c:v>
                </c:pt>
                <c:pt idx="50">
                  <c:v>233.26</c:v>
                </c:pt>
                <c:pt idx="51">
                  <c:v>232.3</c:v>
                </c:pt>
                <c:pt idx="52">
                  <c:v>232</c:v>
                </c:pt>
                <c:pt idx="53">
                  <c:v>232.97</c:v>
                </c:pt>
                <c:pt idx="54">
                  <c:v>229.81</c:v>
                </c:pt>
                <c:pt idx="55">
                  <c:v>228.79</c:v>
                </c:pt>
                <c:pt idx="56">
                  <c:v>226.65</c:v>
                </c:pt>
                <c:pt idx="57">
                  <c:v>227.9</c:v>
                </c:pt>
                <c:pt idx="58">
                  <c:v>225.75</c:v>
                </c:pt>
                <c:pt idx="59">
                  <c:v>227.04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A7-4FAE-ACB1-884C6BBAE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144576"/>
        <c:axId val="150754448"/>
      </c:lineChart>
      <c:catAx>
        <c:axId val="1572092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7212528"/>
        <c:crosses val="autoZero"/>
        <c:auto val="1"/>
        <c:lblAlgn val="ctr"/>
        <c:lblOffset val="100"/>
        <c:noMultiLvlLbl val="0"/>
      </c:catAx>
      <c:valAx>
        <c:axId val="15721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7209200"/>
        <c:crosses val="autoZero"/>
        <c:crossBetween val="between"/>
      </c:valAx>
      <c:valAx>
        <c:axId val="15075444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0144576"/>
        <c:crosses val="max"/>
        <c:crossBetween val="between"/>
      </c:valAx>
      <c:catAx>
        <c:axId val="150144576"/>
        <c:scaling>
          <c:orientation val="minMax"/>
        </c:scaling>
        <c:delete val="1"/>
        <c:axPos val="b"/>
        <c:majorTickMark val="out"/>
        <c:minorTickMark val="none"/>
        <c:tickLblPos val="nextTo"/>
        <c:crossAx val="150754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Dane!$BF$60</c:f>
              <c:strCache>
                <c:ptCount val="1"/>
                <c:pt idx="0">
                  <c:v>p(beta5|y)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Dane!$BE$61:$BE$161</c:f>
              <c:numCache>
                <c:formatCode>General</c:formatCode>
                <c:ptCount val="101"/>
                <c:pt idx="0">
                  <c:v>30</c:v>
                </c:pt>
                <c:pt idx="1">
                  <c:v>32.25</c:v>
                </c:pt>
                <c:pt idx="2">
                  <c:v>34.5</c:v>
                </c:pt>
                <c:pt idx="3">
                  <c:v>36.75</c:v>
                </c:pt>
                <c:pt idx="4">
                  <c:v>39</c:v>
                </c:pt>
                <c:pt idx="5">
                  <c:v>41.25</c:v>
                </c:pt>
                <c:pt idx="6">
                  <c:v>43.5</c:v>
                </c:pt>
                <c:pt idx="7">
                  <c:v>45.75</c:v>
                </c:pt>
                <c:pt idx="8">
                  <c:v>48</c:v>
                </c:pt>
                <c:pt idx="9">
                  <c:v>50.25</c:v>
                </c:pt>
                <c:pt idx="10">
                  <c:v>52.5</c:v>
                </c:pt>
                <c:pt idx="11">
                  <c:v>54.75</c:v>
                </c:pt>
                <c:pt idx="12">
                  <c:v>57</c:v>
                </c:pt>
                <c:pt idx="13">
                  <c:v>59.25</c:v>
                </c:pt>
                <c:pt idx="14">
                  <c:v>61.5</c:v>
                </c:pt>
                <c:pt idx="15">
                  <c:v>63.75</c:v>
                </c:pt>
                <c:pt idx="16">
                  <c:v>66</c:v>
                </c:pt>
                <c:pt idx="17">
                  <c:v>68.25</c:v>
                </c:pt>
                <c:pt idx="18">
                  <c:v>70.5</c:v>
                </c:pt>
                <c:pt idx="19">
                  <c:v>72.75</c:v>
                </c:pt>
                <c:pt idx="20">
                  <c:v>75</c:v>
                </c:pt>
                <c:pt idx="21">
                  <c:v>77.25</c:v>
                </c:pt>
                <c:pt idx="22">
                  <c:v>79.5</c:v>
                </c:pt>
                <c:pt idx="23">
                  <c:v>81.75</c:v>
                </c:pt>
                <c:pt idx="24">
                  <c:v>84</c:v>
                </c:pt>
                <c:pt idx="25">
                  <c:v>86.25</c:v>
                </c:pt>
                <c:pt idx="26">
                  <c:v>88.5</c:v>
                </c:pt>
                <c:pt idx="27">
                  <c:v>90.75</c:v>
                </c:pt>
                <c:pt idx="28">
                  <c:v>93</c:v>
                </c:pt>
                <c:pt idx="29">
                  <c:v>95.25</c:v>
                </c:pt>
                <c:pt idx="30">
                  <c:v>97.5</c:v>
                </c:pt>
                <c:pt idx="31">
                  <c:v>99.75</c:v>
                </c:pt>
                <c:pt idx="32">
                  <c:v>102</c:v>
                </c:pt>
                <c:pt idx="33">
                  <c:v>104.25</c:v>
                </c:pt>
                <c:pt idx="34">
                  <c:v>106.5</c:v>
                </c:pt>
                <c:pt idx="35">
                  <c:v>108.75</c:v>
                </c:pt>
                <c:pt idx="36">
                  <c:v>111</c:v>
                </c:pt>
                <c:pt idx="37">
                  <c:v>113.25</c:v>
                </c:pt>
                <c:pt idx="38">
                  <c:v>115.5</c:v>
                </c:pt>
                <c:pt idx="39">
                  <c:v>117.75</c:v>
                </c:pt>
                <c:pt idx="40">
                  <c:v>120</c:v>
                </c:pt>
                <c:pt idx="41">
                  <c:v>122.25</c:v>
                </c:pt>
                <c:pt idx="42">
                  <c:v>124.5</c:v>
                </c:pt>
                <c:pt idx="43">
                  <c:v>126.75</c:v>
                </c:pt>
                <c:pt idx="44">
                  <c:v>129</c:v>
                </c:pt>
                <c:pt idx="45">
                  <c:v>131.25</c:v>
                </c:pt>
                <c:pt idx="46">
                  <c:v>133.5</c:v>
                </c:pt>
                <c:pt idx="47">
                  <c:v>135.75</c:v>
                </c:pt>
                <c:pt idx="48">
                  <c:v>138</c:v>
                </c:pt>
                <c:pt idx="49">
                  <c:v>140.25</c:v>
                </c:pt>
                <c:pt idx="50">
                  <c:v>142.5</c:v>
                </c:pt>
                <c:pt idx="51">
                  <c:v>144.75</c:v>
                </c:pt>
                <c:pt idx="52">
                  <c:v>147</c:v>
                </c:pt>
                <c:pt idx="53">
                  <c:v>149.25</c:v>
                </c:pt>
                <c:pt idx="54">
                  <c:v>151.5</c:v>
                </c:pt>
                <c:pt idx="55">
                  <c:v>153.75</c:v>
                </c:pt>
                <c:pt idx="56">
                  <c:v>156</c:v>
                </c:pt>
                <c:pt idx="57">
                  <c:v>158.25</c:v>
                </c:pt>
                <c:pt idx="58">
                  <c:v>160.5</c:v>
                </c:pt>
                <c:pt idx="59">
                  <c:v>162.75</c:v>
                </c:pt>
                <c:pt idx="60">
                  <c:v>165</c:v>
                </c:pt>
                <c:pt idx="61">
                  <c:v>167.25</c:v>
                </c:pt>
                <c:pt idx="62">
                  <c:v>169.5</c:v>
                </c:pt>
                <c:pt idx="63">
                  <c:v>171.75</c:v>
                </c:pt>
                <c:pt idx="64">
                  <c:v>174</c:v>
                </c:pt>
                <c:pt idx="65">
                  <c:v>176.25</c:v>
                </c:pt>
                <c:pt idx="66">
                  <c:v>178.5</c:v>
                </c:pt>
                <c:pt idx="67">
                  <c:v>180.75</c:v>
                </c:pt>
                <c:pt idx="68">
                  <c:v>183</c:v>
                </c:pt>
                <c:pt idx="69">
                  <c:v>185.25</c:v>
                </c:pt>
                <c:pt idx="70">
                  <c:v>187.5</c:v>
                </c:pt>
                <c:pt idx="71">
                  <c:v>189.75</c:v>
                </c:pt>
                <c:pt idx="72">
                  <c:v>192</c:v>
                </c:pt>
                <c:pt idx="73">
                  <c:v>194.25</c:v>
                </c:pt>
                <c:pt idx="74">
                  <c:v>196.5</c:v>
                </c:pt>
                <c:pt idx="75">
                  <c:v>198.75</c:v>
                </c:pt>
                <c:pt idx="76">
                  <c:v>201</c:v>
                </c:pt>
                <c:pt idx="77">
                  <c:v>203.25</c:v>
                </c:pt>
                <c:pt idx="78">
                  <c:v>205.5</c:v>
                </c:pt>
                <c:pt idx="79">
                  <c:v>207.75</c:v>
                </c:pt>
                <c:pt idx="80">
                  <c:v>210</c:v>
                </c:pt>
                <c:pt idx="81">
                  <c:v>212.25</c:v>
                </c:pt>
                <c:pt idx="82">
                  <c:v>214.5</c:v>
                </c:pt>
                <c:pt idx="83">
                  <c:v>216.75</c:v>
                </c:pt>
                <c:pt idx="84">
                  <c:v>219</c:v>
                </c:pt>
                <c:pt idx="85">
                  <c:v>221.25</c:v>
                </c:pt>
                <c:pt idx="86">
                  <c:v>223.5</c:v>
                </c:pt>
                <c:pt idx="87">
                  <c:v>225.75</c:v>
                </c:pt>
                <c:pt idx="88">
                  <c:v>228</c:v>
                </c:pt>
                <c:pt idx="89">
                  <c:v>230.25</c:v>
                </c:pt>
                <c:pt idx="90">
                  <c:v>232.5</c:v>
                </c:pt>
                <c:pt idx="91">
                  <c:v>234.75</c:v>
                </c:pt>
                <c:pt idx="92">
                  <c:v>237</c:v>
                </c:pt>
                <c:pt idx="93">
                  <c:v>239.25</c:v>
                </c:pt>
                <c:pt idx="94">
                  <c:v>241.5</c:v>
                </c:pt>
                <c:pt idx="95">
                  <c:v>243.75</c:v>
                </c:pt>
                <c:pt idx="96">
                  <c:v>246</c:v>
                </c:pt>
                <c:pt idx="97">
                  <c:v>248.25</c:v>
                </c:pt>
                <c:pt idx="98">
                  <c:v>250.5</c:v>
                </c:pt>
                <c:pt idx="99">
                  <c:v>252.75</c:v>
                </c:pt>
                <c:pt idx="100">
                  <c:v>255</c:v>
                </c:pt>
              </c:numCache>
            </c:numRef>
          </c:cat>
          <c:val>
            <c:numRef>
              <c:f>Dane!$BF$61:$BF$161</c:f>
              <c:numCache>
                <c:formatCode>General</c:formatCode>
                <c:ptCount val="101"/>
                <c:pt idx="0">
                  <c:v>6.3042636941029651E-6</c:v>
                </c:pt>
                <c:pt idx="1">
                  <c:v>8.3211781390732409E-6</c:v>
                </c:pt>
                <c:pt idx="2">
                  <c:v>1.0946622687944162E-5</c:v>
                </c:pt>
                <c:pt idx="3">
                  <c:v>1.4350745765851889E-5</c:v>
                </c:pt>
                <c:pt idx="4">
                  <c:v>1.8746557706442863E-5</c:v>
                </c:pt>
                <c:pt idx="5">
                  <c:v>2.4399153483266879E-5</c:v>
                </c:pt>
                <c:pt idx="6">
                  <c:v>3.1636416577329239E-5</c:v>
                </c:pt>
                <c:pt idx="7">
                  <c:v>4.0861283708072647E-5</c:v>
                </c:pt>
                <c:pt idx="8">
                  <c:v>5.2565598784129135E-5</c:v>
                </c:pt>
                <c:pt idx="9">
                  <c:v>6.7345511458214471E-5</c:v>
                </c:pt>
                <c:pt idx="10">
                  <c:v>8.5918277679739906E-5</c:v>
                </c:pt>
                <c:pt idx="11">
                  <c:v>1.0914019381934016E-4</c:v>
                </c:pt>
                <c:pt idx="12">
                  <c:v>1.3802524058789751E-4</c:v>
                </c:pt>
                <c:pt idx="13">
                  <c:v>1.737638280870912E-4</c:v>
                </c:pt>
                <c:pt idx="14">
                  <c:v>2.1774082127985872E-4</c:v>
                </c:pt>
                <c:pt idx="15">
                  <c:v>2.715517914034897E-4</c:v>
                </c:pt>
                <c:pt idx="16">
                  <c:v>3.3701619255713526E-4</c:v>
                </c:pt>
                <c:pt idx="17">
                  <c:v>4.161859173689362E-4</c:v>
                </c:pt>
                <c:pt idx="18">
                  <c:v>5.1134745939974253E-4</c:v>
                </c:pt>
                <c:pt idx="19">
                  <c:v>6.2501572548638172E-4</c:v>
                </c:pt>
                <c:pt idx="20">
                  <c:v>7.5991742538985077E-4</c:v>
                </c:pt>
                <c:pt idx="21">
                  <c:v>9.1896194873168397E-4</c:v>
                </c:pt>
                <c:pt idx="22">
                  <c:v>1.1051977513651164E-3</c:v>
                </c:pt>
                <c:pt idx="23">
                  <c:v>1.3217525448961727E-3</c:v>
                </c:pt>
                <c:pt idx="24">
                  <c:v>1.5717560395192044E-3</c:v>
                </c:pt>
                <c:pt idx="25">
                  <c:v>1.8582446490652959E-3</c:v>
                </c:pt>
                <c:pt idx="26">
                  <c:v>2.1840484335353305E-3</c:v>
                </c:pt>
                <c:pt idx="27">
                  <c:v>2.5516616178100963E-3</c:v>
                </c:pt>
                <c:pt idx="28">
                  <c:v>2.9630992558033519E-3</c:v>
                </c:pt>
                <c:pt idx="29">
                  <c:v>3.4197439555756128E-3</c:v>
                </c:pt>
                <c:pt idx="30">
                  <c:v>3.9221879691658419E-3</c:v>
                </c:pt>
                <c:pt idx="31">
                  <c:v>4.4700772867229113E-3</c:v>
                </c:pt>
                <c:pt idx="32">
                  <c:v>5.0619655468441497E-3</c:v>
                </c:pt>
                <c:pt idx="33">
                  <c:v>5.6951864628007618E-3</c:v>
                </c:pt>
                <c:pt idx="34">
                  <c:v>6.3657539457683968E-3</c:v>
                </c:pt>
                <c:pt idx="35">
                  <c:v>7.0682990701016381E-3</c:v>
                </c:pt>
                <c:pt idx="36">
                  <c:v>7.7960523840033729E-3</c:v>
                </c:pt>
                <c:pt idx="37">
                  <c:v>8.5408787691980213E-3</c:v>
                </c:pt>
                <c:pt idx="38">
                  <c:v>9.2933700897395548E-3</c:v>
                </c:pt>
                <c:pt idx="39">
                  <c:v>1.0042998292155879E-2</c:v>
                </c:pt>
                <c:pt idx="40">
                  <c:v>1.0778328534841135E-2</c:v>
                </c:pt>
                <c:pt idx="41">
                  <c:v>1.1487288499175166E-2</c:v>
                </c:pt>
                <c:pt idx="42">
                  <c:v>1.2157486482803065E-2</c:v>
                </c:pt>
                <c:pt idx="43">
                  <c:v>1.2776567446781741E-2</c:v>
                </c:pt>
                <c:pt idx="44">
                  <c:v>1.3332593148922415E-2</c:v>
                </c:pt>
                <c:pt idx="45">
                  <c:v>1.3814430104781266E-2</c:v>
                </c:pt>
                <c:pt idx="46">
                  <c:v>1.4212127602914114E-2</c:v>
                </c:pt>
                <c:pt idx="47">
                  <c:v>1.4517267534585985E-2</c:v>
                </c:pt>
                <c:pt idx="48">
                  <c:v>1.472326847734093E-2</c:v>
                </c:pt>
                <c:pt idx="49">
                  <c:v>1.4825628305173791E-2</c:v>
                </c:pt>
                <c:pt idx="50">
                  <c:v>1.4822092499723081E-2</c:v>
                </c:pt>
                <c:pt idx="51">
                  <c:v>1.4712739130628833E-2</c:v>
                </c:pt>
                <c:pt idx="52">
                  <c:v>1.4499975905184266E-2</c:v>
                </c:pt>
                <c:pt idx="53">
                  <c:v>1.4188449447411027E-2</c:v>
                </c:pt>
                <c:pt idx="54">
                  <c:v>1.3784871715252759E-2</c:v>
                </c:pt>
                <c:pt idx="55">
                  <c:v>1.3297772863221429E-2</c:v>
                </c:pt>
                <c:pt idx="56">
                  <c:v>1.2737193599316708E-2</c:v>
                </c:pt>
                <c:pt idx="57">
                  <c:v>1.211433292013208E-2</c:v>
                </c:pt>
                <c:pt idx="58">
                  <c:v>1.1441168866206783E-2</c:v>
                </c:pt>
                <c:pt idx="59">
                  <c:v>1.0730070541355453E-2</c:v>
                </c:pt>
                <c:pt idx="60">
                  <c:v>9.9934190995622854E-3</c:v>
                </c:pt>
                <c:pt idx="61">
                  <c:v>9.243253823804436E-3</c:v>
                </c:pt>
                <c:pt idx="62">
                  <c:v>8.4909569795788026E-3</c:v>
                </c:pt>
                <c:pt idx="63">
                  <c:v>7.746988052361509E-3</c:v>
                </c:pt>
                <c:pt idx="64">
                  <c:v>7.0206745330884364E-3</c:v>
                </c:pt>
                <c:pt idx="65">
                  <c:v>6.3200628646650102E-3</c:v>
                </c:pt>
                <c:pt idx="66">
                  <c:v>5.6518297536016357E-3</c:v>
                </c:pt>
                <c:pt idx="67">
                  <c:v>5.0212509957575065E-3</c:v>
                </c:pt>
                <c:pt idx="68">
                  <c:v>4.4322224254348787E-3</c:v>
                </c:pt>
                <c:pt idx="69">
                  <c:v>3.8873256768745331E-3</c:v>
                </c:pt>
                <c:pt idx="70">
                  <c:v>3.3879301920016263E-3</c:v>
                </c:pt>
                <c:pt idx="71">
                  <c:v>2.9343223089800942E-3</c:v>
                </c:pt>
                <c:pt idx="72">
                  <c:v>2.5258522675559144E-3</c:v>
                </c:pt>
                <c:pt idx="73">
                  <c:v>2.1610904792914091E-3</c:v>
                </c:pt>
                <c:pt idx="74">
                  <c:v>1.8379853213327886E-3</c:v>
                </c:pt>
                <c:pt idx="75">
                  <c:v>1.5540158992572192E-3</c:v>
                </c:pt>
                <c:pt idx="76">
                  <c:v>1.3063345671541029E-3</c:v>
                </c:pt>
                <c:pt idx="77">
                  <c:v>1.0918953812600611E-3</c:v>
                </c:pt>
                <c:pt idx="78">
                  <c:v>9.0756600406585199E-4</c:v>
                </c:pt>
                <c:pt idx="79">
                  <c:v>7.5022179661541938E-4</c:v>
                </c:pt>
                <c:pt idx="80">
                  <c:v>6.1682188772270278E-4</c:v>
                </c:pt>
                <c:pt idx="81">
                  <c:v>5.0446786151914723E-4</c:v>
                </c:pt>
                <c:pt idx="82">
                  <c:v>4.1044634969401395E-4</c:v>
                </c:pt>
                <c:pt idx="83">
                  <c:v>3.3225725828345195E-4</c:v>
                </c:pt>
                <c:pt idx="84">
                  <c:v>2.6762961896468405E-4</c:v>
                </c:pt>
                <c:pt idx="85">
                  <c:v>2.1452715739621724E-4</c:v>
                </c:pt>
                <c:pt idx="86">
                  <c:v>1.7114564624647394E-4</c:v>
                </c:pt>
                <c:pt idx="87">
                  <c:v>1.3590398924717269E-4</c:v>
                </c:pt>
                <c:pt idx="88">
                  <c:v>1.0743079457993807E-4</c:v>
                </c:pt>
                <c:pt idx="89">
                  <c:v>8.4547967730228256E-5</c:v>
                </c:pt>
                <c:pt idx="90">
                  <c:v>6.6252608041137543E-5</c:v>
                </c:pt>
                <c:pt idx="91">
                  <c:v>5.1698247373102226E-5</c:v>
                </c:pt>
                <c:pt idx="92">
                  <c:v>4.0176236714445581E-5</c:v>
                </c:pt>
                <c:pt idx="93">
                  <c:v>3.1097876215483867E-5</c:v>
                </c:pt>
                <c:pt idx="94">
                  <c:v>2.3977701155336486E-5</c:v>
                </c:pt>
                <c:pt idx="95">
                  <c:v>1.8418182986843768E-5</c:v>
                </c:pt>
                <c:pt idx="96">
                  <c:v>1.4095980705925306E-5</c:v>
                </c:pt>
                <c:pt idx="97">
                  <c:v>1.0749781562518927E-5</c:v>
                </c:pt>
                <c:pt idx="98">
                  <c:v>8.1696987063799113E-6</c:v>
                </c:pt>
                <c:pt idx="99">
                  <c:v>6.1881432993334122E-6</c:v>
                </c:pt>
                <c:pt idx="100">
                  <c:v>4.6720562889801581E-6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1-4189-AA03-75DAEED2D5B5}"/>
            </c:ext>
          </c:extLst>
        </c:ser>
        <c:ser>
          <c:idx val="1"/>
          <c:order val="1"/>
          <c:tx>
            <c:strRef>
              <c:f>Dane!$BG$60</c:f>
              <c:strCache>
                <c:ptCount val="1"/>
                <c:pt idx="0">
                  <c:v>p(beta5)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Dane!$BE$61:$BE$161</c:f>
              <c:numCache>
                <c:formatCode>General</c:formatCode>
                <c:ptCount val="101"/>
                <c:pt idx="0">
                  <c:v>30</c:v>
                </c:pt>
                <c:pt idx="1">
                  <c:v>32.25</c:v>
                </c:pt>
                <c:pt idx="2">
                  <c:v>34.5</c:v>
                </c:pt>
                <c:pt idx="3">
                  <c:v>36.75</c:v>
                </c:pt>
                <c:pt idx="4">
                  <c:v>39</c:v>
                </c:pt>
                <c:pt idx="5">
                  <c:v>41.25</c:v>
                </c:pt>
                <c:pt idx="6">
                  <c:v>43.5</c:v>
                </c:pt>
                <c:pt idx="7">
                  <c:v>45.75</c:v>
                </c:pt>
                <c:pt idx="8">
                  <c:v>48</c:v>
                </c:pt>
                <c:pt idx="9">
                  <c:v>50.25</c:v>
                </c:pt>
                <c:pt idx="10">
                  <c:v>52.5</c:v>
                </c:pt>
                <c:pt idx="11">
                  <c:v>54.75</c:v>
                </c:pt>
                <c:pt idx="12">
                  <c:v>57</c:v>
                </c:pt>
                <c:pt idx="13">
                  <c:v>59.25</c:v>
                </c:pt>
                <c:pt idx="14">
                  <c:v>61.5</c:v>
                </c:pt>
                <c:pt idx="15">
                  <c:v>63.75</c:v>
                </c:pt>
                <c:pt idx="16">
                  <c:v>66</c:v>
                </c:pt>
                <c:pt idx="17">
                  <c:v>68.25</c:v>
                </c:pt>
                <c:pt idx="18">
                  <c:v>70.5</c:v>
                </c:pt>
                <c:pt idx="19">
                  <c:v>72.75</c:v>
                </c:pt>
                <c:pt idx="20">
                  <c:v>75</c:v>
                </c:pt>
                <c:pt idx="21">
                  <c:v>77.25</c:v>
                </c:pt>
                <c:pt idx="22">
                  <c:v>79.5</c:v>
                </c:pt>
                <c:pt idx="23">
                  <c:v>81.75</c:v>
                </c:pt>
                <c:pt idx="24">
                  <c:v>84</c:v>
                </c:pt>
                <c:pt idx="25">
                  <c:v>86.25</c:v>
                </c:pt>
                <c:pt idx="26">
                  <c:v>88.5</c:v>
                </c:pt>
                <c:pt idx="27">
                  <c:v>90.75</c:v>
                </c:pt>
                <c:pt idx="28">
                  <c:v>93</c:v>
                </c:pt>
                <c:pt idx="29">
                  <c:v>95.25</c:v>
                </c:pt>
                <c:pt idx="30">
                  <c:v>97.5</c:v>
                </c:pt>
                <c:pt idx="31">
                  <c:v>99.75</c:v>
                </c:pt>
                <c:pt idx="32">
                  <c:v>102</c:v>
                </c:pt>
                <c:pt idx="33">
                  <c:v>104.25</c:v>
                </c:pt>
                <c:pt idx="34">
                  <c:v>106.5</c:v>
                </c:pt>
                <c:pt idx="35">
                  <c:v>108.75</c:v>
                </c:pt>
                <c:pt idx="36">
                  <c:v>111</c:v>
                </c:pt>
                <c:pt idx="37">
                  <c:v>113.25</c:v>
                </c:pt>
                <c:pt idx="38">
                  <c:v>115.5</c:v>
                </c:pt>
                <c:pt idx="39">
                  <c:v>117.75</c:v>
                </c:pt>
                <c:pt idx="40">
                  <c:v>120</c:v>
                </c:pt>
                <c:pt idx="41">
                  <c:v>122.25</c:v>
                </c:pt>
                <c:pt idx="42">
                  <c:v>124.5</c:v>
                </c:pt>
                <c:pt idx="43">
                  <c:v>126.75</c:v>
                </c:pt>
                <c:pt idx="44">
                  <c:v>129</c:v>
                </c:pt>
                <c:pt idx="45">
                  <c:v>131.25</c:v>
                </c:pt>
                <c:pt idx="46">
                  <c:v>133.5</c:v>
                </c:pt>
                <c:pt idx="47">
                  <c:v>135.75</c:v>
                </c:pt>
                <c:pt idx="48">
                  <c:v>138</c:v>
                </c:pt>
                <c:pt idx="49">
                  <c:v>140.25</c:v>
                </c:pt>
                <c:pt idx="50">
                  <c:v>142.5</c:v>
                </c:pt>
                <c:pt idx="51">
                  <c:v>144.75</c:v>
                </c:pt>
                <c:pt idx="52">
                  <c:v>147</c:v>
                </c:pt>
                <c:pt idx="53">
                  <c:v>149.25</c:v>
                </c:pt>
                <c:pt idx="54">
                  <c:v>151.5</c:v>
                </c:pt>
                <c:pt idx="55">
                  <c:v>153.75</c:v>
                </c:pt>
                <c:pt idx="56">
                  <c:v>156</c:v>
                </c:pt>
                <c:pt idx="57">
                  <c:v>158.25</c:v>
                </c:pt>
                <c:pt idx="58">
                  <c:v>160.5</c:v>
                </c:pt>
                <c:pt idx="59">
                  <c:v>162.75</c:v>
                </c:pt>
                <c:pt idx="60">
                  <c:v>165</c:v>
                </c:pt>
                <c:pt idx="61">
                  <c:v>167.25</c:v>
                </c:pt>
                <c:pt idx="62">
                  <c:v>169.5</c:v>
                </c:pt>
                <c:pt idx="63">
                  <c:v>171.75</c:v>
                </c:pt>
                <c:pt idx="64">
                  <c:v>174</c:v>
                </c:pt>
                <c:pt idx="65">
                  <c:v>176.25</c:v>
                </c:pt>
                <c:pt idx="66">
                  <c:v>178.5</c:v>
                </c:pt>
                <c:pt idx="67">
                  <c:v>180.75</c:v>
                </c:pt>
                <c:pt idx="68">
                  <c:v>183</c:v>
                </c:pt>
                <c:pt idx="69">
                  <c:v>185.25</c:v>
                </c:pt>
                <c:pt idx="70">
                  <c:v>187.5</c:v>
                </c:pt>
                <c:pt idx="71">
                  <c:v>189.75</c:v>
                </c:pt>
                <c:pt idx="72">
                  <c:v>192</c:v>
                </c:pt>
                <c:pt idx="73">
                  <c:v>194.25</c:v>
                </c:pt>
                <c:pt idx="74">
                  <c:v>196.5</c:v>
                </c:pt>
                <c:pt idx="75">
                  <c:v>198.75</c:v>
                </c:pt>
                <c:pt idx="76">
                  <c:v>201</c:v>
                </c:pt>
                <c:pt idx="77">
                  <c:v>203.25</c:v>
                </c:pt>
                <c:pt idx="78">
                  <c:v>205.5</c:v>
                </c:pt>
                <c:pt idx="79">
                  <c:v>207.75</c:v>
                </c:pt>
                <c:pt idx="80">
                  <c:v>210</c:v>
                </c:pt>
                <c:pt idx="81">
                  <c:v>212.25</c:v>
                </c:pt>
                <c:pt idx="82">
                  <c:v>214.5</c:v>
                </c:pt>
                <c:pt idx="83">
                  <c:v>216.75</c:v>
                </c:pt>
                <c:pt idx="84">
                  <c:v>219</c:v>
                </c:pt>
                <c:pt idx="85">
                  <c:v>221.25</c:v>
                </c:pt>
                <c:pt idx="86">
                  <c:v>223.5</c:v>
                </c:pt>
                <c:pt idx="87">
                  <c:v>225.75</c:v>
                </c:pt>
                <c:pt idx="88">
                  <c:v>228</c:v>
                </c:pt>
                <c:pt idx="89">
                  <c:v>230.25</c:v>
                </c:pt>
                <c:pt idx="90">
                  <c:v>232.5</c:v>
                </c:pt>
                <c:pt idx="91">
                  <c:v>234.75</c:v>
                </c:pt>
                <c:pt idx="92">
                  <c:v>237</c:v>
                </c:pt>
                <c:pt idx="93">
                  <c:v>239.25</c:v>
                </c:pt>
                <c:pt idx="94">
                  <c:v>241.5</c:v>
                </c:pt>
                <c:pt idx="95">
                  <c:v>243.75</c:v>
                </c:pt>
                <c:pt idx="96">
                  <c:v>246</c:v>
                </c:pt>
                <c:pt idx="97">
                  <c:v>248.25</c:v>
                </c:pt>
                <c:pt idx="98">
                  <c:v>250.5</c:v>
                </c:pt>
                <c:pt idx="99">
                  <c:v>252.75</c:v>
                </c:pt>
                <c:pt idx="100">
                  <c:v>255</c:v>
                </c:pt>
              </c:numCache>
            </c:numRef>
          </c:cat>
          <c:val>
            <c:numRef>
              <c:f>Dane!$BG$61:$BG$161</c:f>
              <c:numCache>
                <c:formatCode>General</c:formatCode>
                <c:ptCount val="101"/>
                <c:pt idx="0">
                  <c:v>7.4754878820933136E-4</c:v>
                </c:pt>
                <c:pt idx="1">
                  <c:v>5.540032577924848E-4</c:v>
                </c:pt>
                <c:pt idx="2">
                  <c:v>4.1628330638768387E-4</c:v>
                </c:pt>
                <c:pt idx="3">
                  <c:v>3.1688235982390038E-4</c:v>
                </c:pt>
                <c:pt idx="4">
                  <c:v>2.4415694313193815E-4</c:v>
                </c:pt>
                <c:pt idx="5">
                  <c:v>1.9025879599864911E-4</c:v>
                </c:pt>
                <c:pt idx="6">
                  <c:v>1.4982604428117138E-4</c:v>
                </c:pt>
                <c:pt idx="7">
                  <c:v>1.191465645589591E-4</c:v>
                </c:pt>
                <c:pt idx="8">
                  <c:v>9.5617072625185274E-5</c:v>
                </c:pt>
                <c:pt idx="9">
                  <c:v>7.7389151716672917E-5</c:v>
                </c:pt>
                <c:pt idx="10">
                  <c:v>6.3134734651559322E-5</c:v>
                </c:pt>
                <c:pt idx="11">
                  <c:v>5.1888802692133155E-5</c:v>
                </c:pt>
                <c:pt idx="12">
                  <c:v>4.2942593388763259E-5</c:v>
                </c:pt>
                <c:pt idx="13">
                  <c:v>3.5770241875378922E-5</c:v>
                </c:pt>
                <c:pt idx="14">
                  <c:v>2.9977813428399376E-5</c:v>
                </c:pt>
                <c:pt idx="15">
                  <c:v>2.526750442939291E-5</c:v>
                </c:pt>
                <c:pt idx="16">
                  <c:v>2.1412233277725317E-5</c:v>
                </c:pt>
                <c:pt idx="17">
                  <c:v>1.8237424635866683E-5</c:v>
                </c:pt>
                <c:pt idx="18">
                  <c:v>1.560782534286524E-5</c:v>
                </c:pt>
                <c:pt idx="19">
                  <c:v>1.3417874825394735E-5</c:v>
                </c:pt>
                <c:pt idx="20">
                  <c:v>1.1584610340901486E-5</c:v>
                </c:pt>
                <c:pt idx="21">
                  <c:v>1.0042396322393691E-5</c:v>
                </c:pt>
                <c:pt idx="22">
                  <c:v>8.7389777820247602E-6</c:v>
                </c:pt>
                <c:pt idx="23">
                  <c:v>7.632502795263519E-6</c:v>
                </c:pt>
                <c:pt idx="24">
                  <c:v>6.6892598926645188E-6</c:v>
                </c:pt>
                <c:pt idx="25">
                  <c:v>5.8819468590704911E-6</c:v>
                </c:pt>
                <c:pt idx="26">
                  <c:v>5.1883374114701552E-6</c:v>
                </c:pt>
                <c:pt idx="27">
                  <c:v>4.5902478509961008E-6</c:v>
                </c:pt>
                <c:pt idx="28">
                  <c:v>4.0727313813683892E-6</c:v>
                </c:pt>
                <c:pt idx="29">
                  <c:v>3.6234463174682281E-6</c:v>
                </c:pt>
                <c:pt idx="30">
                  <c:v>3.2321579216638048E-6</c:v>
                </c:pt>
                <c:pt idx="31">
                  <c:v>2.8903435294806318E-6</c:v>
                </c:pt>
                <c:pt idx="32">
                  <c:v>2.5908779629039175E-6</c:v>
                </c:pt>
                <c:pt idx="33">
                  <c:v>2.3277816886209866E-6</c:v>
                </c:pt>
                <c:pt idx="34">
                  <c:v>2.0960182656679833E-6</c:v>
                </c:pt>
                <c:pt idx="35">
                  <c:v>1.8913307052956701E-6</c:v>
                </c:pt>
                <c:pt idx="36">
                  <c:v>1.7101086977605755E-6</c:v>
                </c:pt>
                <c:pt idx="37">
                  <c:v>1.5492804369802938E-6</c:v>
                </c:pt>
                <c:pt idx="38">
                  <c:v>1.4062241341972658E-6</c:v>
                </c:pt>
                <c:pt idx="39">
                  <c:v>1.2786953587778035E-6</c:v>
                </c:pt>
                <c:pt idx="40">
                  <c:v>1.1647671541598344E-6</c:v>
                </c:pt>
                <c:pt idx="41">
                  <c:v>1.0627805064464652E-6</c:v>
                </c:pt>
                <c:pt idx="42">
                  <c:v>9.7130323466863426E-7</c:v>
                </c:pt>
                <c:pt idx="43">
                  <c:v>8.890957572573005E-7</c:v>
                </c:pt>
                <c:pt idx="44">
                  <c:v>8.1508249294052681E-7</c:v>
                </c:pt>
                <c:pt idx="45">
                  <c:v>7.4832789448518922E-7</c:v>
                </c:pt>
                <c:pt idx="46">
                  <c:v>6.8801630446857341E-7</c:v>
                </c:pt>
                <c:pt idx="47">
                  <c:v>6.3343497435803931E-7</c:v>
                </c:pt>
                <c:pt idx="48">
                  <c:v>5.8395970989491286E-7</c:v>
                </c:pt>
                <c:pt idx="49">
                  <c:v>5.39042703543941E-7</c:v>
                </c:pt>
                <c:pt idx="50">
                  <c:v>4.982021935739965E-7</c:v>
                </c:pt>
                <c:pt idx="51">
                  <c:v>4.6101365307427255E-7</c:v>
                </c:pt>
                <c:pt idx="52">
                  <c:v>4.2710226393506377E-7</c:v>
                </c:pt>
                <c:pt idx="53">
                  <c:v>3.9613647293302777E-7</c:v>
                </c:pt>
                <c:pt idx="54">
                  <c:v>3.6782246145213952E-7</c:v>
                </c:pt>
                <c:pt idx="55">
                  <c:v>3.4189938854364445E-7</c:v>
                </c:pt>
                <c:pt idx="56">
                  <c:v>3.1813529017426806E-7</c:v>
                </c:pt>
                <c:pt idx="57">
                  <c:v>2.9632353658272787E-7</c:v>
                </c:pt>
                <c:pt idx="58">
                  <c:v>2.7627976542180814E-7</c:v>
                </c:pt>
                <c:pt idx="59">
                  <c:v>2.5783922141771093E-7</c:v>
                </c:pt>
                <c:pt idx="60">
                  <c:v>2.408544441223229E-7</c:v>
                </c:pt>
                <c:pt idx="61">
                  <c:v>2.2519325436483699E-7</c:v>
                </c:pt>
                <c:pt idx="62">
                  <c:v>2.1073699754871645E-7</c:v>
                </c:pt>
                <c:pt idx="63">
                  <c:v>1.9737900824996454E-7</c:v>
                </c:pt>
                <c:pt idx="64">
                  <c:v>1.8502326586592582E-7</c:v>
                </c:pt>
                <c:pt idx="65">
                  <c:v>1.7358321551463211E-7</c:v>
                </c:pt>
                <c:pt idx="66">
                  <c:v>1.6298073213538096E-7</c:v>
                </c:pt>
                <c:pt idx="67">
                  <c:v>1.5314520890892067E-7</c:v>
                </c:pt>
                <c:pt idx="68">
                  <c:v>1.4401275379665057E-7</c:v>
                </c:pt>
                <c:pt idx="69">
                  <c:v>1.3552548027207885E-7</c:v>
                </c:pt>
                <c:pt idx="70">
                  <c:v>1.2763088025022695E-7</c:v>
                </c:pt>
                <c:pt idx="71">
                  <c:v>1.2028126886621839E-7</c:v>
                </c:pt>
                <c:pt idx="72">
                  <c:v>1.1343329215825939E-7</c:v>
                </c:pt>
                <c:pt idx="73">
                  <c:v>1.0704748991033421E-7</c:v>
                </c:pt>
                <c:pt idx="74">
                  <c:v>1.0108790693771079E-7</c:v>
                </c:pt>
                <c:pt idx="75">
                  <c:v>9.5521746980098599E-8</c:v>
                </c:pt>
                <c:pt idx="76">
                  <c:v>9.0319064125119442E-8</c:v>
                </c:pt>
                <c:pt idx="77">
                  <c:v>8.5452487337187031E-8</c:v>
                </c:pt>
                <c:pt idx="78">
                  <c:v>8.0896974229523547E-8</c:v>
                </c:pt>
                <c:pt idx="79">
                  <c:v>7.6629590703060163E-8</c:v>
                </c:pt>
                <c:pt idx="80">
                  <c:v>7.2629313496463234E-8</c:v>
                </c:pt>
                <c:pt idx="81">
                  <c:v>6.8876853055914615E-8</c:v>
                </c:pt>
                <c:pt idx="82">
                  <c:v>6.5354494449529328E-8</c:v>
                </c:pt>
                <c:pt idx="83">
                  <c:v>6.2045954326183829E-8</c:v>
                </c:pt>
                <c:pt idx="84">
                  <c:v>5.8936252157824168E-8</c:v>
                </c:pt>
                <c:pt idx="85">
                  <c:v>5.6011594212933431E-8</c:v>
                </c:pt>
                <c:pt idx="86">
                  <c:v>5.3259268890953326E-8</c:v>
                </c:pt>
                <c:pt idx="87">
                  <c:v>5.066755220666347E-8</c:v>
                </c:pt>
                <c:pt idx="88">
                  <c:v>4.8225622352901173E-8</c:v>
                </c:pt>
                <c:pt idx="89">
                  <c:v>4.5923482392172068E-8</c:v>
                </c:pt>
                <c:pt idx="90">
                  <c:v>4.3751890234942354E-8</c:v>
                </c:pt>
                <c:pt idx="91">
                  <c:v>4.1702295156644493E-8</c:v>
                </c:pt>
                <c:pt idx="92">
                  <c:v>3.9766780188364071E-8</c:v>
                </c:pt>
                <c:pt idx="93">
                  <c:v>3.7938009789239616E-8</c:v>
                </c:pt>
                <c:pt idx="94">
                  <c:v>3.6209182273065094E-8</c:v>
                </c:pt>
                <c:pt idx="95">
                  <c:v>3.4573986518508689E-8</c:v>
                </c:pt>
                <c:pt idx="96">
                  <c:v>3.3026562542693792E-8</c:v>
                </c:pt>
                <c:pt idx="97">
                  <c:v>3.1561465562444429E-8</c:v>
                </c:pt>
                <c:pt idx="98">
                  <c:v>3.017363320698307E-8</c:v>
                </c:pt>
                <c:pt idx="99">
                  <c:v>2.885835558090036E-8</c:v>
                </c:pt>
                <c:pt idx="100">
                  <c:v>2.7611247907329118E-8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91-4189-AA03-75DAEED2D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2607807"/>
        <c:axId val="2052609471"/>
      </c:lineChart>
      <c:catAx>
        <c:axId val="2052607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52609471"/>
        <c:crosses val="autoZero"/>
        <c:auto val="1"/>
        <c:lblAlgn val="ctr"/>
        <c:lblOffset val="100"/>
        <c:noMultiLvlLbl val="0"/>
      </c:catAx>
      <c:valAx>
        <c:axId val="2052609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52607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image" Target="../media/image11.png"/><Relationship Id="rId18" Type="http://schemas.openxmlformats.org/officeDocument/2006/relationships/image" Target="../media/image16.png"/><Relationship Id="rId26" Type="http://schemas.openxmlformats.org/officeDocument/2006/relationships/image" Target="../media/image23.png"/><Relationship Id="rId3" Type="http://schemas.openxmlformats.org/officeDocument/2006/relationships/chart" Target="../charts/chart2.xml"/><Relationship Id="rId21" Type="http://schemas.openxmlformats.org/officeDocument/2006/relationships/image" Target="../media/image19.png"/><Relationship Id="rId7" Type="http://schemas.openxmlformats.org/officeDocument/2006/relationships/image" Target="../media/image5.png"/><Relationship Id="rId12" Type="http://schemas.openxmlformats.org/officeDocument/2006/relationships/image" Target="../media/image10.png"/><Relationship Id="rId17" Type="http://schemas.openxmlformats.org/officeDocument/2006/relationships/image" Target="../media/image15.png"/><Relationship Id="rId25" Type="http://schemas.openxmlformats.org/officeDocument/2006/relationships/image" Target="../media/image22.png"/><Relationship Id="rId2" Type="http://schemas.openxmlformats.org/officeDocument/2006/relationships/chart" Target="../charts/chart1.xml"/><Relationship Id="rId16" Type="http://schemas.openxmlformats.org/officeDocument/2006/relationships/image" Target="../media/image14.png"/><Relationship Id="rId20" Type="http://schemas.openxmlformats.org/officeDocument/2006/relationships/image" Target="../media/image18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openxmlformats.org/officeDocument/2006/relationships/image" Target="../media/image9.png"/><Relationship Id="rId24" Type="http://schemas.openxmlformats.org/officeDocument/2006/relationships/chart" Target="../charts/chart3.xml"/><Relationship Id="rId5" Type="http://schemas.openxmlformats.org/officeDocument/2006/relationships/image" Target="../media/image3.png"/><Relationship Id="rId15" Type="http://schemas.openxmlformats.org/officeDocument/2006/relationships/image" Target="../media/image13.png"/><Relationship Id="rId23" Type="http://schemas.openxmlformats.org/officeDocument/2006/relationships/image" Target="../media/image21.png"/><Relationship Id="rId10" Type="http://schemas.openxmlformats.org/officeDocument/2006/relationships/image" Target="../media/image8.png"/><Relationship Id="rId19" Type="http://schemas.openxmlformats.org/officeDocument/2006/relationships/image" Target="../media/image17.png"/><Relationship Id="rId4" Type="http://schemas.openxmlformats.org/officeDocument/2006/relationships/image" Target="../media/image2.png"/><Relationship Id="rId9" Type="http://schemas.openxmlformats.org/officeDocument/2006/relationships/image" Target="../media/image7.png"/><Relationship Id="rId14" Type="http://schemas.openxmlformats.org/officeDocument/2006/relationships/image" Target="../media/image12.png"/><Relationship Id="rId22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170546</xdr:colOff>
      <xdr:row>4</xdr:row>
      <xdr:rowOff>30716</xdr:rowOff>
    </xdr:from>
    <xdr:to>
      <xdr:col>12</xdr:col>
      <xdr:colOff>266034</xdr:colOff>
      <xdr:row>8</xdr:row>
      <xdr:rowOff>19061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0460" y="910957"/>
          <a:ext cx="3787246" cy="7700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88900</xdr:colOff>
      <xdr:row>26</xdr:row>
      <xdr:rowOff>74333</xdr:rowOff>
    </xdr:from>
    <xdr:to>
      <xdr:col>6</xdr:col>
      <xdr:colOff>196850</xdr:colOff>
      <xdr:row>42</xdr:row>
      <xdr:rowOff>131483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141941</xdr:colOff>
      <xdr:row>41</xdr:row>
      <xdr:rowOff>37353</xdr:rowOff>
    </xdr:from>
    <xdr:to>
      <xdr:col>6</xdr:col>
      <xdr:colOff>298823</xdr:colOff>
      <xdr:row>55</xdr:row>
      <xdr:rowOff>160243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97692</xdr:colOff>
      <xdr:row>2</xdr:row>
      <xdr:rowOff>135438</xdr:rowOff>
    </xdr:from>
    <xdr:to>
      <xdr:col>18</xdr:col>
      <xdr:colOff>97071</xdr:colOff>
      <xdr:row>3</xdr:row>
      <xdr:rowOff>259597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056" y="504893"/>
          <a:ext cx="2019833" cy="3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312614</xdr:colOff>
      <xdr:row>6</xdr:row>
      <xdr:rowOff>161191</xdr:rowOff>
    </xdr:from>
    <xdr:to>
      <xdr:col>23</xdr:col>
      <xdr:colOff>341433</xdr:colOff>
      <xdr:row>9</xdr:row>
      <xdr:rowOff>44938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9691" y="1396999"/>
          <a:ext cx="1909396" cy="450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84504</xdr:colOff>
      <xdr:row>17</xdr:row>
      <xdr:rowOff>148005</xdr:rowOff>
    </xdr:from>
    <xdr:to>
      <xdr:col>18</xdr:col>
      <xdr:colOff>595434</xdr:colOff>
      <xdr:row>19</xdr:row>
      <xdr:rowOff>101601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6704" y="3443655"/>
          <a:ext cx="2536580" cy="321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337038</xdr:colOff>
      <xdr:row>9</xdr:row>
      <xdr:rowOff>117231</xdr:rowOff>
    </xdr:from>
    <xdr:to>
      <xdr:col>19</xdr:col>
      <xdr:colOff>464038</xdr:colOff>
      <xdr:row>12</xdr:row>
      <xdr:rowOff>183662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3769" y="1900116"/>
          <a:ext cx="1387231" cy="633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190499</xdr:colOff>
      <xdr:row>9</xdr:row>
      <xdr:rowOff>166076</xdr:rowOff>
    </xdr:from>
    <xdr:to>
      <xdr:col>22</xdr:col>
      <xdr:colOff>282330</xdr:colOff>
      <xdr:row>13</xdr:row>
      <xdr:rowOff>27842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7576" y="1948961"/>
          <a:ext cx="1352062" cy="61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154842</xdr:colOff>
      <xdr:row>18</xdr:row>
      <xdr:rowOff>10258</xdr:rowOff>
    </xdr:from>
    <xdr:to>
      <xdr:col>23</xdr:col>
      <xdr:colOff>309196</xdr:colOff>
      <xdr:row>21</xdr:row>
      <xdr:rowOff>11724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9992" y="3490058"/>
          <a:ext cx="2033954" cy="553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28</xdr:col>
      <xdr:colOff>161551</xdr:colOff>
      <xdr:row>2</xdr:row>
      <xdr:rowOff>42022</xdr:rowOff>
    </xdr:from>
    <xdr:to>
      <xdr:col>37</xdr:col>
      <xdr:colOff>522567</xdr:colOff>
      <xdr:row>4</xdr:row>
      <xdr:rowOff>111872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87576" y="442072"/>
          <a:ext cx="6361766" cy="55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31</xdr:col>
      <xdr:colOff>319181</xdr:colOff>
      <xdr:row>6</xdr:row>
      <xdr:rowOff>124199</xdr:rowOff>
    </xdr:from>
    <xdr:to>
      <xdr:col>33</xdr:col>
      <xdr:colOff>375397</xdr:colOff>
      <xdr:row>8</xdr:row>
      <xdr:rowOff>54349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6406" y="1410074"/>
          <a:ext cx="1237316" cy="32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31</xdr:col>
      <xdr:colOff>344840</xdr:colOff>
      <xdr:row>8</xdr:row>
      <xdr:rowOff>86789</xdr:rowOff>
    </xdr:from>
    <xdr:to>
      <xdr:col>35</xdr:col>
      <xdr:colOff>598150</xdr:colOff>
      <xdr:row>10</xdr:row>
      <xdr:rowOff>27025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52065" y="1763189"/>
          <a:ext cx="3053660" cy="3307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28</xdr:col>
      <xdr:colOff>0</xdr:colOff>
      <xdr:row>19</xdr:row>
      <xdr:rowOff>0</xdr:rowOff>
    </xdr:from>
    <xdr:to>
      <xdr:col>31</xdr:col>
      <xdr:colOff>196850</xdr:colOff>
      <xdr:row>20</xdr:row>
      <xdr:rowOff>146050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56250" y="3676650"/>
          <a:ext cx="2063750" cy="33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0</xdr:colOff>
      <xdr:row>19</xdr:row>
      <xdr:rowOff>0</xdr:rowOff>
    </xdr:from>
    <xdr:to>
      <xdr:col>34</xdr:col>
      <xdr:colOff>603250</xdr:colOff>
      <xdr:row>20</xdr:row>
      <xdr:rowOff>133350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67750" y="3676650"/>
          <a:ext cx="122555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46</xdr:col>
      <xdr:colOff>57978</xdr:colOff>
      <xdr:row>3</xdr:row>
      <xdr:rowOff>173935</xdr:rowOff>
    </xdr:from>
    <xdr:to>
      <xdr:col>49</xdr:col>
      <xdr:colOff>305628</xdr:colOff>
      <xdr:row>6</xdr:row>
      <xdr:rowOff>28161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8B6A250F-FD67-4268-B510-283B0C0AD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0" y="762000"/>
          <a:ext cx="2011845" cy="549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46</xdr:col>
      <xdr:colOff>27044</xdr:colOff>
      <xdr:row>6</xdr:row>
      <xdr:rowOff>30446</xdr:rowOff>
    </xdr:from>
    <xdr:to>
      <xdr:col>47</xdr:col>
      <xdr:colOff>526256</xdr:colOff>
      <xdr:row>8</xdr:row>
      <xdr:rowOff>181824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92ADD34B-029C-4542-864F-8CA89EA3A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3015" y="1320403"/>
          <a:ext cx="1092484" cy="55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46</xdr:col>
      <xdr:colOff>40990</xdr:colOff>
      <xdr:row>8</xdr:row>
      <xdr:rowOff>13267</xdr:rowOff>
    </xdr:from>
    <xdr:to>
      <xdr:col>48</xdr:col>
      <xdr:colOff>292553</xdr:colOff>
      <xdr:row>11</xdr:row>
      <xdr:rowOff>29935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78B61DBC-EE7A-4D37-8029-298FE54A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56961" y="1705996"/>
          <a:ext cx="1438106" cy="62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46</xdr:col>
      <xdr:colOff>349297</xdr:colOff>
      <xdr:row>13</xdr:row>
      <xdr:rowOff>64548</xdr:rowOff>
    </xdr:from>
    <xdr:to>
      <xdr:col>55</xdr:col>
      <xdr:colOff>120041</xdr:colOff>
      <xdr:row>16</xdr:row>
      <xdr:rowOff>113415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782257EF-7C80-4C8F-815A-F96600CF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13280" y="2711841"/>
          <a:ext cx="5268968" cy="633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48</xdr:col>
      <xdr:colOff>252322</xdr:colOff>
      <xdr:row>21</xdr:row>
      <xdr:rowOff>30507</xdr:rowOff>
    </xdr:from>
    <xdr:to>
      <xdr:col>52</xdr:col>
      <xdr:colOff>520762</xdr:colOff>
      <xdr:row>23</xdr:row>
      <xdr:rowOff>75924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44ADB41C-919F-4644-AE54-2DB530FD9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59860" y="4221507"/>
          <a:ext cx="2818210" cy="433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44</xdr:col>
      <xdr:colOff>59121</xdr:colOff>
      <xdr:row>33</xdr:row>
      <xdr:rowOff>177878</xdr:rowOff>
    </xdr:from>
    <xdr:to>
      <xdr:col>48</xdr:col>
      <xdr:colOff>278413</xdr:colOff>
      <xdr:row>36</xdr:row>
      <xdr:rowOff>56950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313C12A5-7269-4F56-89A8-0EA6C651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10776" y="6681154"/>
          <a:ext cx="3470930" cy="457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47</xdr:col>
      <xdr:colOff>90551</xdr:colOff>
      <xdr:row>49</xdr:row>
      <xdr:rowOff>70911</xdr:rowOff>
    </xdr:from>
    <xdr:to>
      <xdr:col>51</xdr:col>
      <xdr:colOff>167942</xdr:colOff>
      <xdr:row>51</xdr:row>
      <xdr:rowOff>61662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10AC31E5-7E1B-45DA-B96D-F48B0B417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1235" y="9711214"/>
          <a:ext cx="2859694" cy="371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46</xdr:col>
      <xdr:colOff>119834</xdr:colOff>
      <xdr:row>47</xdr:row>
      <xdr:rowOff>68968</xdr:rowOff>
    </xdr:from>
    <xdr:to>
      <xdr:col>51</xdr:col>
      <xdr:colOff>267341</xdr:colOff>
      <xdr:row>50</xdr:row>
      <xdr:rowOff>19373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13E32A1A-AF3E-4F81-91B5-68860A8B4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82199" y="9278910"/>
          <a:ext cx="3591161" cy="521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62</xdr:col>
      <xdr:colOff>8146</xdr:colOff>
      <xdr:row>55</xdr:row>
      <xdr:rowOff>183859</xdr:rowOff>
    </xdr:from>
    <xdr:to>
      <xdr:col>67</xdr:col>
      <xdr:colOff>371287</xdr:colOff>
      <xdr:row>59</xdr:row>
      <xdr:rowOff>30957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1B8B0E08-1E28-492E-A79F-F28FBA4CA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27446" y="10975684"/>
          <a:ext cx="3315891" cy="618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59</xdr:col>
      <xdr:colOff>388145</xdr:colOff>
      <xdr:row>59</xdr:row>
      <xdr:rowOff>119063</xdr:rowOff>
    </xdr:from>
    <xdr:to>
      <xdr:col>67</xdr:col>
      <xdr:colOff>215164</xdr:colOff>
      <xdr:row>73</xdr:row>
      <xdr:rowOff>185738</xdr:rowOff>
    </xdr:to>
    <xdr:graphicFrame macro="">
      <xdr:nvGraphicFramePr>
        <xdr:cNvPr id="29" name="Wykres 28">
          <a:extLst>
            <a:ext uri="{FF2B5EF4-FFF2-40B4-BE49-F238E27FC236}">
              <a16:creationId xmlns:a16="http://schemas.microsoft.com/office/drawing/2014/main" id="{5F365872-5B93-4F9C-8240-4CC27B2F0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60</xdr:col>
      <xdr:colOff>466397</xdr:colOff>
      <xdr:row>51</xdr:row>
      <xdr:rowOff>143485</xdr:rowOff>
    </xdr:from>
    <xdr:to>
      <xdr:col>65</xdr:col>
      <xdr:colOff>504825</xdr:colOff>
      <xdr:row>54</xdr:row>
      <xdr:rowOff>8869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77BAC68A-9F4A-442D-8518-28EC2183E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0" y="10102037"/>
          <a:ext cx="2994463" cy="443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604630</xdr:colOff>
      <xdr:row>40</xdr:row>
      <xdr:rowOff>66260</xdr:rowOff>
    </xdr:from>
    <xdr:to>
      <xdr:col>23</xdr:col>
      <xdr:colOff>395081</xdr:colOff>
      <xdr:row>43</xdr:row>
      <xdr:rowOff>47210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2261042B-9FA8-4106-98DD-25D04DCCD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1717" y="7959586"/>
          <a:ext cx="3509342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61"/>
  <sheetViews>
    <sheetView tabSelected="1" topLeftCell="AB1" zoomScale="55" zoomScaleNormal="55" workbookViewId="0">
      <selection activeCell="BG72" sqref="BG72"/>
    </sheetView>
  </sheetViews>
  <sheetFormatPr defaultColWidth="8.85546875" defaultRowHeight="15" x14ac:dyDescent="0.25"/>
  <cols>
    <col min="1" max="1" width="9.140625" bestFit="1" customWidth="1"/>
    <col min="2" max="2" width="8.7109375"/>
    <col min="3" max="3" width="14.85546875" customWidth="1"/>
    <col min="4" max="4" width="10.140625" customWidth="1"/>
    <col min="5" max="5" width="8.85546875" style="7"/>
    <col min="6" max="6" width="8.85546875" style="10"/>
    <col min="7" max="7" width="11" style="10" bestFit="1" customWidth="1"/>
    <col min="8" max="15" width="8.85546875" style="10"/>
    <col min="16" max="16" width="11" style="10" bestFit="1" customWidth="1"/>
    <col min="17" max="17" width="9" style="10" bestFit="1" customWidth="1"/>
    <col min="18" max="18" width="11.140625" style="10" customWidth="1"/>
    <col min="19" max="22" width="9" style="10" bestFit="1" customWidth="1"/>
    <col min="23" max="27" width="8.85546875" style="10"/>
    <col min="28" max="28" width="14.140625" style="10" customWidth="1"/>
    <col min="29" max="29" width="8.85546875" style="10"/>
    <col min="30" max="30" width="12" style="10" bestFit="1" customWidth="1"/>
    <col min="31" max="33" width="8.85546875" style="10"/>
    <col min="34" max="35" width="12.140625" style="10" bestFit="1" customWidth="1"/>
    <col min="36" max="38" width="9.140625" style="10" bestFit="1" customWidth="1"/>
    <col min="39" max="40" width="12.28515625" style="10" bestFit="1" customWidth="1"/>
    <col min="41" max="44" width="8.85546875" style="10"/>
    <col min="45" max="45" width="12.28515625" style="10" bestFit="1" customWidth="1"/>
    <col min="46" max="46" width="12.5703125" style="10" customWidth="1"/>
    <col min="47" max="47" width="10.5703125" style="10" customWidth="1"/>
    <col min="48" max="48" width="13.28515625" style="10" customWidth="1"/>
    <col min="49" max="49" width="10" style="10" customWidth="1"/>
    <col min="50" max="54" width="8.85546875" style="10"/>
    <col min="55" max="55" width="10.5703125" style="10" customWidth="1"/>
    <col min="56" max="57" width="8.85546875" style="10"/>
    <col min="58" max="58" width="10" style="10" customWidth="1"/>
    <col min="59" max="16384" width="8.85546875" style="10"/>
  </cols>
  <sheetData>
    <row r="1" spans="1:55" customFormat="1" ht="15.75" thickBot="1" x14ac:dyDescent="0.3">
      <c r="A1" s="1" t="s">
        <v>6</v>
      </c>
      <c r="E1" s="7"/>
    </row>
    <row r="2" spans="1:55" customFormat="1" ht="15.75" thickBot="1" x14ac:dyDescent="0.3">
      <c r="A2" s="1"/>
      <c r="E2" s="7"/>
      <c r="P2" s="63" t="s">
        <v>45</v>
      </c>
      <c r="Q2" s="64"/>
      <c r="R2" s="64"/>
      <c r="S2" s="64"/>
      <c r="T2" s="64"/>
      <c r="U2" s="64"/>
      <c r="V2" s="64"/>
      <c r="W2" s="64"/>
      <c r="X2" s="64"/>
      <c r="Y2" s="64"/>
      <c r="Z2" s="64"/>
      <c r="AA2" s="65"/>
      <c r="AC2" s="63" t="s">
        <v>57</v>
      </c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5"/>
      <c r="AR2" s="63" t="s">
        <v>74</v>
      </c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5"/>
    </row>
    <row r="3" spans="1:55" customFormat="1" x14ac:dyDescent="0.25">
      <c r="A3" t="s">
        <v>37</v>
      </c>
      <c r="E3" s="7"/>
    </row>
    <row r="4" spans="1:55" customFormat="1" ht="23.25" x14ac:dyDescent="0.35">
      <c r="A4" t="s">
        <v>1</v>
      </c>
      <c r="E4" s="7"/>
      <c r="Q4" s="41"/>
      <c r="S4" s="41"/>
    </row>
    <row r="5" spans="1:55" s="5" customFormat="1" ht="15.75" thickBot="1" x14ac:dyDescent="0.3">
      <c r="A5" s="5" t="s">
        <v>33</v>
      </c>
      <c r="E5" s="8"/>
      <c r="G5" s="6"/>
    </row>
    <row r="6" spans="1:55" customFormat="1" ht="15.75" thickBot="1" x14ac:dyDescent="0.3">
      <c r="A6" t="s">
        <v>34</v>
      </c>
      <c r="E6" s="7"/>
      <c r="P6" s="46" t="s">
        <v>46</v>
      </c>
      <c r="Q6" s="47"/>
      <c r="R6" s="47"/>
      <c r="S6" s="47"/>
      <c r="T6" s="47"/>
      <c r="U6" s="47"/>
      <c r="V6" s="47"/>
      <c r="W6" s="48"/>
      <c r="AC6" s="1" t="s">
        <v>58</v>
      </c>
      <c r="AR6" s="1" t="s">
        <v>58</v>
      </c>
    </row>
    <row r="7" spans="1:55" customFormat="1" ht="15.75" thickBot="1" x14ac:dyDescent="0.3">
      <c r="A7" t="s">
        <v>35</v>
      </c>
      <c r="E7" s="7"/>
    </row>
    <row r="8" spans="1:55" customFormat="1" ht="15.75" thickBot="1" x14ac:dyDescent="0.3">
      <c r="E8" s="7"/>
      <c r="P8" t="s">
        <v>47</v>
      </c>
      <c r="Q8">
        <v>1</v>
      </c>
      <c r="S8" s="42" t="s">
        <v>49</v>
      </c>
      <c r="T8" s="43">
        <f>2*Q8^2/Q9</f>
        <v>4</v>
      </c>
      <c r="AC8" s="14" t="s">
        <v>59</v>
      </c>
      <c r="AD8" s="49">
        <f>T8+AD11</f>
        <v>64</v>
      </c>
    </row>
    <row r="9" spans="1:55" customFormat="1" ht="15.75" thickBot="1" x14ac:dyDescent="0.3">
      <c r="A9" t="s">
        <v>36</v>
      </c>
      <c r="E9" s="7"/>
      <c r="P9" t="s">
        <v>48</v>
      </c>
      <c r="Q9">
        <v>0.5</v>
      </c>
      <c r="S9" s="44" t="s">
        <v>50</v>
      </c>
      <c r="T9" s="45">
        <f>2*Q8/Q9</f>
        <v>4</v>
      </c>
      <c r="AC9" s="52" t="s">
        <v>60</v>
      </c>
      <c r="AD9" s="53">
        <f t="array" ref="AD9">T9+MMULT(TRANSPOSE(G13:G72),G13:G72)+MMULT(MMULT(TRANSPOSE(Q24:Q30),T24:Z30),Q24:Q30)-MMULT(MMULT(TRANSPOSE(AC24:AC30),AH24:AN30),AC24:AC30)</f>
        <v>263101083.18035889</v>
      </c>
      <c r="AR9" s="14" t="s">
        <v>75</v>
      </c>
      <c r="AS9" s="49">
        <f>AD8/AD9</f>
        <v>2.4325251430503327E-7</v>
      </c>
    </row>
    <row r="10" spans="1:55" ht="15.75" thickBot="1" x14ac:dyDescent="0.3">
      <c r="J10" s="10">
        <v>2</v>
      </c>
      <c r="K10" s="10">
        <v>3</v>
      </c>
      <c r="L10" s="10">
        <v>4</v>
      </c>
      <c r="AR10" s="52" t="s">
        <v>76</v>
      </c>
      <c r="AS10" s="53">
        <f>SQRT(2*AD8)/AD9</f>
        <v>4.3001375601441673E-8</v>
      </c>
    </row>
    <row r="11" spans="1:55" ht="15.75" thickBot="1" x14ac:dyDescent="0.3">
      <c r="C11" t="s">
        <v>4</v>
      </c>
      <c r="D11" t="s">
        <v>5</v>
      </c>
      <c r="E11" s="7" t="s">
        <v>2</v>
      </c>
      <c r="G11" s="23"/>
      <c r="H11" s="27" t="s">
        <v>40</v>
      </c>
      <c r="I11" s="27" t="s">
        <v>41</v>
      </c>
      <c r="J11" s="27" t="s">
        <v>42</v>
      </c>
      <c r="K11" s="27" t="s">
        <v>43</v>
      </c>
      <c r="L11" s="27" t="s">
        <v>44</v>
      </c>
      <c r="M11" s="27" t="s">
        <v>8</v>
      </c>
      <c r="N11" s="27" t="s">
        <v>9</v>
      </c>
      <c r="AC11" s="28" t="s">
        <v>61</v>
      </c>
      <c r="AD11" s="10">
        <f>ROWS(G13:G72)</f>
        <v>60</v>
      </c>
      <c r="AG11"/>
    </row>
    <row r="12" spans="1:55" ht="15.75" thickBot="1" x14ac:dyDescent="0.3">
      <c r="A12" s="2" t="s">
        <v>0</v>
      </c>
      <c r="B12" t="s">
        <v>3</v>
      </c>
      <c r="C12" t="s">
        <v>7</v>
      </c>
      <c r="D12" t="s">
        <v>8</v>
      </c>
      <c r="E12" s="7" t="s">
        <v>9</v>
      </c>
      <c r="G12" s="24" t="s">
        <v>38</v>
      </c>
      <c r="H12" s="60" t="s">
        <v>39</v>
      </c>
      <c r="I12" s="61"/>
      <c r="J12" s="61"/>
      <c r="K12" s="61"/>
      <c r="L12" s="61"/>
      <c r="M12" s="61"/>
      <c r="N12" s="62"/>
      <c r="AR12" s="10" t="s">
        <v>77</v>
      </c>
      <c r="AV12"/>
    </row>
    <row r="13" spans="1:55" x14ac:dyDescent="0.25">
      <c r="A13" s="3">
        <v>2005</v>
      </c>
      <c r="B13">
        <v>1</v>
      </c>
      <c r="C13">
        <v>33602.913760000003</v>
      </c>
      <c r="D13">
        <v>82.63</v>
      </c>
      <c r="E13" s="7">
        <v>18188.341</v>
      </c>
      <c r="G13" s="11">
        <f t="shared" ref="G13:G44" si="0">C13</f>
        <v>33602.913760000003</v>
      </c>
      <c r="H13" s="29">
        <v>1</v>
      </c>
      <c r="I13" s="30">
        <v>1</v>
      </c>
      <c r="J13" s="31">
        <f>IF($B13=J$10,1,0)</f>
        <v>0</v>
      </c>
      <c r="K13" s="31">
        <f t="shared" ref="K13:L28" si="1">IF($B13=K$10,1,0)</f>
        <v>0</v>
      </c>
      <c r="L13" s="31">
        <f t="shared" si="1"/>
        <v>0</v>
      </c>
      <c r="M13" s="32">
        <f>D13</f>
        <v>82.63</v>
      </c>
      <c r="N13" s="33">
        <f>E13</f>
        <v>18188.341</v>
      </c>
    </row>
    <row r="14" spans="1:55" ht="15.75" thickBot="1" x14ac:dyDescent="0.3">
      <c r="A14" s="3">
        <f t="shared" ref="A14:A68" si="2">IF(B14=1,A13+1,A13)</f>
        <v>2005</v>
      </c>
      <c r="B14">
        <v>2</v>
      </c>
      <c r="C14">
        <v>37318.837735000001</v>
      </c>
      <c r="D14">
        <v>84.67</v>
      </c>
      <c r="E14" s="7">
        <v>18844.100999999999</v>
      </c>
      <c r="G14" s="25">
        <f t="shared" si="0"/>
        <v>37318.837735000001</v>
      </c>
      <c r="H14" s="34">
        <v>1</v>
      </c>
      <c r="I14" s="28">
        <v>2</v>
      </c>
      <c r="J14" s="10">
        <f t="shared" ref="J14:L45" si="3">IF($B14=J$10,1,0)</f>
        <v>1</v>
      </c>
      <c r="K14" s="10">
        <f t="shared" si="1"/>
        <v>0</v>
      </c>
      <c r="L14" s="10">
        <f t="shared" si="1"/>
        <v>0</v>
      </c>
      <c r="M14" s="23">
        <f t="shared" ref="M14:M72" si="4">D14</f>
        <v>84.67</v>
      </c>
      <c r="N14" s="35">
        <f t="shared" ref="N14:N72" si="5">E14</f>
        <v>18844.100999999999</v>
      </c>
    </row>
    <row r="15" spans="1:55" ht="15.75" thickBot="1" x14ac:dyDescent="0.3">
      <c r="A15" s="3">
        <f t="shared" si="2"/>
        <v>2005</v>
      </c>
      <c r="B15">
        <v>3</v>
      </c>
      <c r="C15">
        <v>38705.392007000002</v>
      </c>
      <c r="D15">
        <v>85.44</v>
      </c>
      <c r="E15" s="7">
        <v>19492.017</v>
      </c>
      <c r="G15" s="25">
        <f t="shared" si="0"/>
        <v>38705.392007000002</v>
      </c>
      <c r="H15" s="34">
        <v>1</v>
      </c>
      <c r="I15" s="28">
        <v>3</v>
      </c>
      <c r="J15" s="10">
        <f t="shared" si="3"/>
        <v>0</v>
      </c>
      <c r="K15" s="10">
        <f t="shared" si="1"/>
        <v>1</v>
      </c>
      <c r="L15" s="10">
        <f t="shared" si="1"/>
        <v>0</v>
      </c>
      <c r="M15" s="23">
        <f t="shared" si="4"/>
        <v>85.44</v>
      </c>
      <c r="N15" s="35">
        <f t="shared" si="5"/>
        <v>19492.017</v>
      </c>
      <c r="P15" s="46" t="s">
        <v>51</v>
      </c>
      <c r="Q15" s="47"/>
      <c r="R15" s="47"/>
      <c r="S15" s="47"/>
      <c r="T15" s="47"/>
      <c r="U15" s="47"/>
      <c r="V15" s="47"/>
      <c r="W15" s="48"/>
      <c r="AC15" s="55" t="s">
        <v>62</v>
      </c>
      <c r="AR15" s="55" t="s">
        <v>62</v>
      </c>
      <c r="AU15"/>
    </row>
    <row r="16" spans="1:55" x14ac:dyDescent="0.25">
      <c r="A16" s="3">
        <f t="shared" si="2"/>
        <v>2005</v>
      </c>
      <c r="B16">
        <v>4</v>
      </c>
      <c r="C16">
        <v>40058.736977</v>
      </c>
      <c r="D16">
        <v>87.76</v>
      </c>
      <c r="E16" s="7">
        <v>20370.311000000002</v>
      </c>
      <c r="G16" s="25">
        <f t="shared" si="0"/>
        <v>40058.736977</v>
      </c>
      <c r="H16" s="34">
        <v>1</v>
      </c>
      <c r="I16" s="28">
        <v>4</v>
      </c>
      <c r="J16" s="10">
        <f t="shared" si="3"/>
        <v>0</v>
      </c>
      <c r="K16" s="10">
        <f t="shared" si="1"/>
        <v>0</v>
      </c>
      <c r="L16" s="10">
        <f t="shared" si="1"/>
        <v>1</v>
      </c>
      <c r="M16" s="23">
        <f t="shared" si="4"/>
        <v>87.76</v>
      </c>
      <c r="N16" s="35">
        <f t="shared" si="5"/>
        <v>20370.311000000002</v>
      </c>
    </row>
    <row r="17" spans="1:55" x14ac:dyDescent="0.25">
      <c r="A17" s="3">
        <f t="shared" si="2"/>
        <v>2006</v>
      </c>
      <c r="B17">
        <v>1</v>
      </c>
      <c r="C17">
        <v>37579.018407000003</v>
      </c>
      <c r="D17">
        <v>89.64</v>
      </c>
      <c r="E17" s="7">
        <v>21168.516</v>
      </c>
      <c r="G17" s="25">
        <f t="shared" si="0"/>
        <v>37579.018407000003</v>
      </c>
      <c r="H17" s="34">
        <v>1</v>
      </c>
      <c r="I17" s="28">
        <v>5</v>
      </c>
      <c r="J17" s="10">
        <f t="shared" si="3"/>
        <v>0</v>
      </c>
      <c r="K17" s="10">
        <f t="shared" si="1"/>
        <v>0</v>
      </c>
      <c r="L17" s="10">
        <f t="shared" si="1"/>
        <v>0</v>
      </c>
      <c r="M17" s="23">
        <f t="shared" si="4"/>
        <v>89.64</v>
      </c>
      <c r="N17" s="35">
        <f t="shared" si="5"/>
        <v>21168.516</v>
      </c>
      <c r="P17" s="10" t="s">
        <v>53</v>
      </c>
      <c r="Q17" s="10">
        <v>7</v>
      </c>
      <c r="R17" s="10" t="s">
        <v>54</v>
      </c>
    </row>
    <row r="18" spans="1:55" x14ac:dyDescent="0.25">
      <c r="A18" s="3">
        <f t="shared" si="2"/>
        <v>2006</v>
      </c>
      <c r="B18">
        <v>2</v>
      </c>
      <c r="C18">
        <v>42324.750375000003</v>
      </c>
      <c r="D18">
        <v>91.48</v>
      </c>
      <c r="E18" s="7">
        <v>21904.067999999999</v>
      </c>
      <c r="G18" s="25">
        <f t="shared" si="0"/>
        <v>42324.750375000003</v>
      </c>
      <c r="H18" s="34">
        <v>1</v>
      </c>
      <c r="I18" s="28">
        <v>6</v>
      </c>
      <c r="J18" s="10">
        <f t="shared" si="3"/>
        <v>1</v>
      </c>
      <c r="K18" s="10">
        <f t="shared" si="1"/>
        <v>0</v>
      </c>
      <c r="L18" s="10">
        <f t="shared" si="1"/>
        <v>0</v>
      </c>
      <c r="M18" s="23">
        <f t="shared" si="4"/>
        <v>91.48</v>
      </c>
      <c r="N18" s="35">
        <f t="shared" si="5"/>
        <v>21904.067999999999</v>
      </c>
    </row>
    <row r="19" spans="1:55" x14ac:dyDescent="0.25">
      <c r="A19" s="3">
        <f t="shared" si="2"/>
        <v>2006</v>
      </c>
      <c r="B19">
        <v>3</v>
      </c>
      <c r="C19">
        <v>44364.791266</v>
      </c>
      <c r="D19">
        <v>94</v>
      </c>
      <c r="E19" s="7">
        <v>22632.85</v>
      </c>
      <c r="G19" s="25">
        <f t="shared" si="0"/>
        <v>44364.791266</v>
      </c>
      <c r="H19" s="34">
        <v>1</v>
      </c>
      <c r="I19" s="28">
        <v>7</v>
      </c>
      <c r="J19" s="10">
        <f t="shared" si="3"/>
        <v>0</v>
      </c>
      <c r="K19" s="10">
        <f t="shared" si="1"/>
        <v>1</v>
      </c>
      <c r="L19" s="10">
        <f t="shared" si="1"/>
        <v>0</v>
      </c>
      <c r="M19" s="23">
        <f t="shared" si="4"/>
        <v>94</v>
      </c>
      <c r="N19" s="35">
        <f t="shared" si="5"/>
        <v>22632.85</v>
      </c>
      <c r="AW19"/>
    </row>
    <row r="20" spans="1:55" x14ac:dyDescent="0.25">
      <c r="A20" s="3">
        <f t="shared" si="2"/>
        <v>2006</v>
      </c>
      <c r="B20">
        <v>4</v>
      </c>
      <c r="C20">
        <v>46634.227725999997</v>
      </c>
      <c r="D20">
        <v>99.38</v>
      </c>
      <c r="E20" s="7">
        <v>23848.048999999999</v>
      </c>
      <c r="G20" s="25">
        <f t="shared" si="0"/>
        <v>46634.227725999997</v>
      </c>
      <c r="H20" s="34">
        <v>1</v>
      </c>
      <c r="I20" s="28">
        <v>8</v>
      </c>
      <c r="J20" s="10">
        <f t="shared" si="3"/>
        <v>0</v>
      </c>
      <c r="K20" s="10">
        <f t="shared" si="1"/>
        <v>0</v>
      </c>
      <c r="L20" s="10">
        <f t="shared" si="1"/>
        <v>1</v>
      </c>
      <c r="M20" s="23">
        <f t="shared" si="4"/>
        <v>99.38</v>
      </c>
      <c r="N20" s="35">
        <f t="shared" si="5"/>
        <v>23848.048999999999</v>
      </c>
      <c r="T20"/>
      <c r="AC20"/>
      <c r="AH20"/>
    </row>
    <row r="21" spans="1:55" x14ac:dyDescent="0.25">
      <c r="A21" s="3">
        <f t="shared" si="2"/>
        <v>2007</v>
      </c>
      <c r="B21">
        <v>1</v>
      </c>
      <c r="C21">
        <v>45808.988483000001</v>
      </c>
      <c r="D21">
        <v>102.69</v>
      </c>
      <c r="E21" s="7">
        <v>24344.743999999999</v>
      </c>
      <c r="G21" s="25">
        <f t="shared" si="0"/>
        <v>45808.988483000001</v>
      </c>
      <c r="H21" s="34">
        <v>1</v>
      </c>
      <c r="I21" s="28">
        <v>9</v>
      </c>
      <c r="J21" s="10">
        <f t="shared" si="3"/>
        <v>0</v>
      </c>
      <c r="K21" s="10">
        <f t="shared" si="1"/>
        <v>0</v>
      </c>
      <c r="L21" s="10">
        <f t="shared" si="1"/>
        <v>0</v>
      </c>
      <c r="M21" s="23">
        <f t="shared" si="4"/>
        <v>102.69</v>
      </c>
      <c r="N21" s="35">
        <f t="shared" si="5"/>
        <v>24344.743999999999</v>
      </c>
    </row>
    <row r="22" spans="1:55" x14ac:dyDescent="0.25">
      <c r="A22" s="3">
        <f t="shared" si="2"/>
        <v>2007</v>
      </c>
      <c r="B22">
        <v>2</v>
      </c>
      <c r="C22">
        <v>50828.95319</v>
      </c>
      <c r="D22">
        <v>105.78</v>
      </c>
      <c r="E22" s="7">
        <v>24919.412</v>
      </c>
      <c r="G22" s="25">
        <f t="shared" si="0"/>
        <v>50828.95319</v>
      </c>
      <c r="H22" s="34">
        <v>1</v>
      </c>
      <c r="I22" s="28">
        <v>10</v>
      </c>
      <c r="J22" s="10">
        <f t="shared" si="3"/>
        <v>1</v>
      </c>
      <c r="K22" s="10">
        <f t="shared" si="1"/>
        <v>0</v>
      </c>
      <c r="L22" s="10">
        <f t="shared" si="1"/>
        <v>0</v>
      </c>
      <c r="M22" s="23">
        <f t="shared" si="4"/>
        <v>105.78</v>
      </c>
      <c r="N22" s="35">
        <f t="shared" si="5"/>
        <v>24919.412</v>
      </c>
    </row>
    <row r="23" spans="1:55" ht="15.75" thickBot="1" x14ac:dyDescent="0.3">
      <c r="A23" s="3">
        <f t="shared" si="2"/>
        <v>2007</v>
      </c>
      <c r="B23">
        <v>3</v>
      </c>
      <c r="C23">
        <v>53021.972398999998</v>
      </c>
      <c r="D23">
        <v>110.98</v>
      </c>
      <c r="E23" s="7">
        <v>25910.355</v>
      </c>
      <c r="G23" s="25">
        <f t="shared" si="0"/>
        <v>53021.972398999998</v>
      </c>
      <c r="H23" s="34">
        <v>1</v>
      </c>
      <c r="I23" s="28">
        <v>11</v>
      </c>
      <c r="J23" s="10">
        <f t="shared" si="3"/>
        <v>0</v>
      </c>
      <c r="K23" s="10">
        <f t="shared" si="1"/>
        <v>1</v>
      </c>
      <c r="L23" s="10">
        <f t="shared" si="1"/>
        <v>0</v>
      </c>
      <c r="M23" s="23">
        <f t="shared" si="4"/>
        <v>110.98</v>
      </c>
      <c r="N23" s="35">
        <f t="shared" si="5"/>
        <v>25910.355</v>
      </c>
      <c r="P23" s="10" t="s">
        <v>52</v>
      </c>
      <c r="T23" s="54" t="s">
        <v>56</v>
      </c>
      <c r="AC23" s="56" t="s">
        <v>64</v>
      </c>
      <c r="AH23" s="10" t="s">
        <v>63</v>
      </c>
      <c r="AQ23" s="55" t="s">
        <v>80</v>
      </c>
    </row>
    <row r="24" spans="1:55" x14ac:dyDescent="0.25">
      <c r="A24" s="3">
        <f t="shared" si="2"/>
        <v>2007</v>
      </c>
      <c r="B24">
        <v>4</v>
      </c>
      <c r="C24">
        <v>54586.077058000003</v>
      </c>
      <c r="D24">
        <v>115.42</v>
      </c>
      <c r="E24" s="7">
        <v>26496.16</v>
      </c>
      <c r="G24" s="25">
        <f t="shared" si="0"/>
        <v>54586.077058000003</v>
      </c>
      <c r="H24" s="34">
        <v>1</v>
      </c>
      <c r="I24" s="28">
        <v>12</v>
      </c>
      <c r="J24" s="10">
        <f t="shared" si="3"/>
        <v>0</v>
      </c>
      <c r="K24" s="10">
        <f t="shared" si="1"/>
        <v>0</v>
      </c>
      <c r="L24" s="10">
        <f t="shared" si="1"/>
        <v>1</v>
      </c>
      <c r="M24" s="23">
        <f t="shared" si="4"/>
        <v>115.42</v>
      </c>
      <c r="N24" s="35">
        <f t="shared" si="5"/>
        <v>26496.16</v>
      </c>
      <c r="P24" s="10" t="s">
        <v>24</v>
      </c>
      <c r="Q24" s="11">
        <v>0</v>
      </c>
      <c r="T24" s="14">
        <f t="array" ref="T24:Z30">T9/(T8-2)*MINVERSE(T33:Z39)</f>
        <v>0.02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49">
        <v>0</v>
      </c>
      <c r="AB24" s="10" t="s">
        <v>24</v>
      </c>
      <c r="AC24" s="11">
        <f t="array" ref="AC24:AC30">MMULT(MINVERSE(AH24:AN30),MMULT(T24:Z30,Q24:Q30)+MMULT(MMULT(TRANSPOSE(H13:N72),H13:N72),AC34:AC40))</f>
        <v>-3897.520995747298</v>
      </c>
      <c r="AH24" s="14">
        <f t="array" ref="AH24:AN30">T24:Z30+MMULT(TRANSPOSE(H13:N72),H13:N72)</f>
        <v>60.02</v>
      </c>
      <c r="AI24" s="31">
        <v>1830</v>
      </c>
      <c r="AJ24" s="31">
        <v>15</v>
      </c>
      <c r="AK24" s="31">
        <v>15</v>
      </c>
      <c r="AL24" s="31">
        <v>15</v>
      </c>
      <c r="AM24" s="31">
        <v>10383.59</v>
      </c>
      <c r="AN24" s="49">
        <v>1947516.9850000001</v>
      </c>
    </row>
    <row r="25" spans="1:55" ht="15.75" thickBot="1" x14ac:dyDescent="0.3">
      <c r="A25" s="3">
        <f t="shared" si="2"/>
        <v>2008</v>
      </c>
      <c r="B25">
        <v>1</v>
      </c>
      <c r="C25">
        <v>50657.570043</v>
      </c>
      <c r="D25">
        <v>121.74</v>
      </c>
      <c r="E25" s="7">
        <v>27283.164000000001</v>
      </c>
      <c r="G25" s="25">
        <f t="shared" si="0"/>
        <v>50657.570043</v>
      </c>
      <c r="H25" s="34">
        <v>1</v>
      </c>
      <c r="I25" s="28">
        <v>13</v>
      </c>
      <c r="J25" s="10">
        <f t="shared" si="3"/>
        <v>0</v>
      </c>
      <c r="K25" s="10">
        <f t="shared" si="1"/>
        <v>0</v>
      </c>
      <c r="L25" s="10">
        <f t="shared" si="1"/>
        <v>0</v>
      </c>
      <c r="M25" s="23">
        <f t="shared" si="4"/>
        <v>121.74</v>
      </c>
      <c r="N25" s="35">
        <f t="shared" si="5"/>
        <v>27283.164000000001</v>
      </c>
      <c r="P25" s="28" t="s">
        <v>25</v>
      </c>
      <c r="Q25" s="25">
        <v>0</v>
      </c>
      <c r="T25" s="50">
        <v>0</v>
      </c>
      <c r="U25" s="10">
        <v>0.02</v>
      </c>
      <c r="V25" s="10">
        <v>0</v>
      </c>
      <c r="W25" s="10">
        <v>0</v>
      </c>
      <c r="X25" s="10">
        <v>0</v>
      </c>
      <c r="Y25" s="10">
        <v>0</v>
      </c>
      <c r="Z25" s="51">
        <v>0</v>
      </c>
      <c r="AB25" s="10" t="s">
        <v>25</v>
      </c>
      <c r="AC25" s="25">
        <v>-67.025006975265569</v>
      </c>
      <c r="AH25" s="50">
        <v>1830</v>
      </c>
      <c r="AI25" s="10">
        <v>73810.02</v>
      </c>
      <c r="AJ25" s="10">
        <v>450</v>
      </c>
      <c r="AK25" s="10">
        <v>465</v>
      </c>
      <c r="AL25" s="10">
        <v>480</v>
      </c>
      <c r="AM25" s="10">
        <v>366743.11</v>
      </c>
      <c r="AN25" s="51">
        <v>65514532.838999994</v>
      </c>
      <c r="AR25" s="10" t="s">
        <v>78</v>
      </c>
      <c r="AW25" s="10" t="s">
        <v>79</v>
      </c>
    </row>
    <row r="26" spans="1:55" x14ac:dyDescent="0.25">
      <c r="A26" s="3">
        <f t="shared" si="2"/>
        <v>2008</v>
      </c>
      <c r="B26">
        <v>2</v>
      </c>
      <c r="C26">
        <v>58474.261843</v>
      </c>
      <c r="D26">
        <v>126.7</v>
      </c>
      <c r="E26" s="7">
        <v>28194.669000000002</v>
      </c>
      <c r="G26" s="25">
        <f t="shared" si="0"/>
        <v>58474.261843</v>
      </c>
      <c r="H26" s="34">
        <v>1</v>
      </c>
      <c r="I26" s="28">
        <v>14</v>
      </c>
      <c r="J26" s="10">
        <f t="shared" si="3"/>
        <v>1</v>
      </c>
      <c r="K26" s="10">
        <f t="shared" si="1"/>
        <v>0</v>
      </c>
      <c r="L26" s="10">
        <f t="shared" si="1"/>
        <v>0</v>
      </c>
      <c r="M26" s="23">
        <f t="shared" si="4"/>
        <v>126.7</v>
      </c>
      <c r="N26" s="35">
        <f t="shared" si="5"/>
        <v>28194.669000000002</v>
      </c>
      <c r="P26" s="28" t="s">
        <v>26</v>
      </c>
      <c r="Q26" s="25">
        <v>0</v>
      </c>
      <c r="T26" s="50">
        <v>0</v>
      </c>
      <c r="U26" s="10">
        <v>0</v>
      </c>
      <c r="V26" s="10">
        <v>0.02</v>
      </c>
      <c r="W26" s="10">
        <v>0</v>
      </c>
      <c r="X26" s="10">
        <v>0</v>
      </c>
      <c r="Y26" s="10">
        <v>0</v>
      </c>
      <c r="Z26" s="51">
        <v>0</v>
      </c>
      <c r="AB26" s="10" t="s">
        <v>26</v>
      </c>
      <c r="AC26" s="25">
        <v>6360.9781294192071</v>
      </c>
      <c r="AH26" s="50">
        <v>15</v>
      </c>
      <c r="AI26" s="10">
        <v>450</v>
      </c>
      <c r="AJ26" s="10">
        <v>15.02</v>
      </c>
      <c r="AK26" s="10">
        <v>0</v>
      </c>
      <c r="AL26" s="10">
        <v>0</v>
      </c>
      <c r="AM26" s="10">
        <v>2575.27</v>
      </c>
      <c r="AN26" s="51">
        <v>483417.63199999993</v>
      </c>
      <c r="AQ26" s="10" t="s">
        <v>24</v>
      </c>
      <c r="AR26" s="11">
        <f>AC24</f>
        <v>-3897.520995747298</v>
      </c>
      <c r="AW26" s="14" cm="1">
        <f t="array" ref="AW26:BC32">AD9/(AD8-2)*MINVERSE(AH24:AN30)</f>
        <v>11118328.782051701</v>
      </c>
      <c r="AX26" s="31">
        <v>201862.41354922944</v>
      </c>
      <c r="AY26" s="31">
        <v>-267070.6509907142</v>
      </c>
      <c r="AZ26" s="31">
        <v>-274018.21017488296</v>
      </c>
      <c r="BA26" s="31">
        <v>-161863.11472530381</v>
      </c>
      <c r="BB26" s="31">
        <v>-31111.009432848939</v>
      </c>
      <c r="BC26" s="49">
        <v>-358.86644570696058</v>
      </c>
    </row>
    <row r="27" spans="1:55" x14ac:dyDescent="0.25">
      <c r="A27" s="3">
        <f t="shared" si="2"/>
        <v>2008</v>
      </c>
      <c r="B27">
        <v>3</v>
      </c>
      <c r="C27">
        <v>60679.055634999997</v>
      </c>
      <c r="D27">
        <v>132.08000000000001</v>
      </c>
      <c r="E27" s="7">
        <v>29165.455999999998</v>
      </c>
      <c r="G27" s="25">
        <f t="shared" si="0"/>
        <v>60679.055634999997</v>
      </c>
      <c r="H27" s="34">
        <v>1</v>
      </c>
      <c r="I27" s="28">
        <v>15</v>
      </c>
      <c r="J27" s="10">
        <f t="shared" si="3"/>
        <v>0</v>
      </c>
      <c r="K27" s="10">
        <f t="shared" si="1"/>
        <v>1</v>
      </c>
      <c r="L27" s="10">
        <f t="shared" si="1"/>
        <v>0</v>
      </c>
      <c r="M27" s="23">
        <f t="shared" si="4"/>
        <v>132.08000000000001</v>
      </c>
      <c r="N27" s="35">
        <f t="shared" si="5"/>
        <v>29165.455999999998</v>
      </c>
      <c r="P27" s="28" t="s">
        <v>27</v>
      </c>
      <c r="Q27" s="25">
        <v>0</v>
      </c>
      <c r="T27" s="50">
        <v>0</v>
      </c>
      <c r="U27" s="10">
        <v>0</v>
      </c>
      <c r="V27" s="10">
        <v>0</v>
      </c>
      <c r="W27" s="10">
        <v>0.02</v>
      </c>
      <c r="X27" s="10">
        <v>0</v>
      </c>
      <c r="Y27" s="10">
        <v>0</v>
      </c>
      <c r="Z27" s="51">
        <v>0</v>
      </c>
      <c r="AB27" s="10" t="s">
        <v>27</v>
      </c>
      <c r="AC27" s="25">
        <v>7932.718486872327</v>
      </c>
      <c r="AH27" s="50">
        <v>15</v>
      </c>
      <c r="AI27" s="10">
        <v>465</v>
      </c>
      <c r="AJ27" s="10">
        <v>0</v>
      </c>
      <c r="AK27" s="10">
        <v>15.02</v>
      </c>
      <c r="AL27" s="10">
        <v>0</v>
      </c>
      <c r="AM27" s="10">
        <v>2601.56</v>
      </c>
      <c r="AN27" s="51">
        <v>489285.20600000006</v>
      </c>
      <c r="AQ27" s="10" t="s">
        <v>25</v>
      </c>
      <c r="AR27" s="25">
        <f>AC25</f>
        <v>-67.025006975265569</v>
      </c>
      <c r="AW27" s="50">
        <v>201862.41354923119</v>
      </c>
      <c r="AX27" s="10">
        <v>5610.6039579274075</v>
      </c>
      <c r="AY27" s="10">
        <v>-1405.6325851251743</v>
      </c>
      <c r="AZ27" s="10">
        <v>-3042.0277633934775</v>
      </c>
      <c r="BA27" s="10">
        <v>-1222.5688149565917</v>
      </c>
      <c r="BB27" s="10">
        <v>-1521.8696991721156</v>
      </c>
      <c r="BC27" s="51">
        <v>-3.335356213672918</v>
      </c>
    </row>
    <row r="28" spans="1:55" x14ac:dyDescent="0.25">
      <c r="A28" s="3">
        <f t="shared" si="2"/>
        <v>2008</v>
      </c>
      <c r="B28">
        <v>4</v>
      </c>
      <c r="C28">
        <v>60701.402283000003</v>
      </c>
      <c r="D28">
        <v>138.78</v>
      </c>
      <c r="E28" s="7">
        <v>30275.46</v>
      </c>
      <c r="G28" s="25">
        <f t="shared" si="0"/>
        <v>60701.402283000003</v>
      </c>
      <c r="H28" s="34">
        <v>1</v>
      </c>
      <c r="I28" s="28">
        <v>16</v>
      </c>
      <c r="J28" s="10">
        <f t="shared" si="3"/>
        <v>0</v>
      </c>
      <c r="K28" s="10">
        <f t="shared" si="1"/>
        <v>0</v>
      </c>
      <c r="L28" s="10">
        <f t="shared" si="1"/>
        <v>1</v>
      </c>
      <c r="M28" s="23">
        <f t="shared" si="4"/>
        <v>138.78</v>
      </c>
      <c r="N28" s="35">
        <f t="shared" si="5"/>
        <v>30275.46</v>
      </c>
      <c r="P28" s="28" t="s">
        <v>28</v>
      </c>
      <c r="Q28" s="25">
        <v>0</v>
      </c>
      <c r="T28" s="50">
        <v>0</v>
      </c>
      <c r="U28" s="10">
        <v>0</v>
      </c>
      <c r="V28" s="10">
        <v>0</v>
      </c>
      <c r="W28" s="10">
        <v>0</v>
      </c>
      <c r="X28" s="10">
        <v>0.02</v>
      </c>
      <c r="Y28" s="10">
        <v>0</v>
      </c>
      <c r="Z28" s="51">
        <v>0</v>
      </c>
      <c r="AB28" s="10" t="s">
        <v>28</v>
      </c>
      <c r="AC28" s="25">
        <v>5831.3553189621889</v>
      </c>
      <c r="AH28" s="50">
        <v>15</v>
      </c>
      <c r="AI28" s="10">
        <v>480</v>
      </c>
      <c r="AJ28" s="10">
        <v>0</v>
      </c>
      <c r="AK28" s="10">
        <v>0</v>
      </c>
      <c r="AL28" s="10">
        <v>15.02</v>
      </c>
      <c r="AM28" s="10">
        <v>2656.47</v>
      </c>
      <c r="AN28" s="51">
        <v>497656.56599999999</v>
      </c>
      <c r="AQ28" s="10" t="s">
        <v>26</v>
      </c>
      <c r="AR28" s="25">
        <f>AC26</f>
        <v>6360.9781294192071</v>
      </c>
      <c r="AW28" s="50">
        <v>-267070.65099071717</v>
      </c>
      <c r="AX28" s="10">
        <v>-1405.6325851251736</v>
      </c>
      <c r="AY28" s="10">
        <v>564755.27285444352</v>
      </c>
      <c r="AZ28" s="10">
        <v>283607.62822649075</v>
      </c>
      <c r="BA28" s="10">
        <v>283929.67696926749</v>
      </c>
      <c r="BB28" s="10">
        <v>904.45732684185009</v>
      </c>
      <c r="BC28" s="51">
        <v>-3.9917570330883749</v>
      </c>
    </row>
    <row r="29" spans="1:55" x14ac:dyDescent="0.25">
      <c r="A29" s="3">
        <f t="shared" si="2"/>
        <v>2009</v>
      </c>
      <c r="B29">
        <v>1</v>
      </c>
      <c r="C29">
        <v>55933.562062999998</v>
      </c>
      <c r="D29">
        <v>144.77000000000001</v>
      </c>
      <c r="E29" s="7">
        <v>31080.057000000001</v>
      </c>
      <c r="G29" s="25">
        <f t="shared" si="0"/>
        <v>55933.562062999998</v>
      </c>
      <c r="H29" s="34">
        <v>1</v>
      </c>
      <c r="I29" s="28">
        <v>17</v>
      </c>
      <c r="J29" s="10">
        <f t="shared" si="3"/>
        <v>0</v>
      </c>
      <c r="K29" s="10">
        <f t="shared" si="3"/>
        <v>0</v>
      </c>
      <c r="L29" s="10">
        <f t="shared" si="3"/>
        <v>0</v>
      </c>
      <c r="M29" s="23">
        <f t="shared" si="4"/>
        <v>144.77000000000001</v>
      </c>
      <c r="N29" s="35">
        <f t="shared" si="5"/>
        <v>31080.057000000001</v>
      </c>
      <c r="P29" s="28" t="s">
        <v>29</v>
      </c>
      <c r="Q29" s="25">
        <v>0</v>
      </c>
      <c r="T29" s="5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0.02</v>
      </c>
      <c r="Z29" s="51">
        <v>0</v>
      </c>
      <c r="AB29" s="10" t="s">
        <v>29</v>
      </c>
      <c r="AC29" s="25">
        <v>141.30012337912922</v>
      </c>
      <c r="AH29" s="50">
        <v>10383.59</v>
      </c>
      <c r="AI29" s="10">
        <v>366743.11</v>
      </c>
      <c r="AJ29" s="10">
        <v>2575.27</v>
      </c>
      <c r="AK29" s="10">
        <v>2601.56</v>
      </c>
      <c r="AL29" s="10">
        <v>2656.47</v>
      </c>
      <c r="AM29" s="10">
        <v>1942767.0747</v>
      </c>
      <c r="AN29" s="51">
        <v>354470960.63591015</v>
      </c>
      <c r="AQ29" s="10" t="s">
        <v>27</v>
      </c>
      <c r="AR29" s="25">
        <f>AC27</f>
        <v>7932.718486872327</v>
      </c>
      <c r="AW29" s="50">
        <v>-274018.21017488796</v>
      </c>
      <c r="AX29" s="10">
        <v>-3042.0277633935161</v>
      </c>
      <c r="AY29" s="10">
        <v>283607.62822649075</v>
      </c>
      <c r="AZ29" s="10">
        <v>568766.58809512074</v>
      </c>
      <c r="BA29" s="10">
        <v>286669.53828667593</v>
      </c>
      <c r="BB29" s="10">
        <v>1749.6549682263878</v>
      </c>
      <c r="BC29" s="51">
        <v>-6.7983347364455335</v>
      </c>
    </row>
    <row r="30" spans="1:55" ht="15.75" thickBot="1" x14ac:dyDescent="0.3">
      <c r="A30" s="3">
        <f t="shared" si="2"/>
        <v>2009</v>
      </c>
      <c r="B30">
        <v>2</v>
      </c>
      <c r="C30">
        <v>62819.729528999997</v>
      </c>
      <c r="D30">
        <v>145.47999999999999</v>
      </c>
      <c r="E30" s="7">
        <v>31745.440999999999</v>
      </c>
      <c r="G30" s="25">
        <f t="shared" si="0"/>
        <v>62819.729528999997</v>
      </c>
      <c r="H30" s="34">
        <v>1</v>
      </c>
      <c r="I30" s="28">
        <v>18</v>
      </c>
      <c r="J30" s="10">
        <f t="shared" si="3"/>
        <v>1</v>
      </c>
      <c r="K30" s="10">
        <f t="shared" si="3"/>
        <v>0</v>
      </c>
      <c r="L30" s="10">
        <f t="shared" si="3"/>
        <v>0</v>
      </c>
      <c r="M30" s="23">
        <f t="shared" si="4"/>
        <v>145.47999999999999</v>
      </c>
      <c r="N30" s="35">
        <f t="shared" si="5"/>
        <v>31745.440999999999</v>
      </c>
      <c r="P30" s="28" t="s">
        <v>30</v>
      </c>
      <c r="Q30" s="26">
        <v>0</v>
      </c>
      <c r="T30" s="52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53">
        <v>0.02</v>
      </c>
      <c r="AB30" s="10" t="s">
        <v>30</v>
      </c>
      <c r="AC30" s="26">
        <v>1.3441109400463347</v>
      </c>
      <c r="AH30" s="52">
        <v>1947516.9850000001</v>
      </c>
      <c r="AI30" s="38">
        <v>65514532.838999994</v>
      </c>
      <c r="AJ30" s="38">
        <v>483417.63199999993</v>
      </c>
      <c r="AK30" s="38">
        <v>489285.20600000006</v>
      </c>
      <c r="AL30" s="38">
        <v>497656.56599999999</v>
      </c>
      <c r="AM30" s="38">
        <v>354470960.63591015</v>
      </c>
      <c r="AN30" s="53">
        <v>65501734114.597488</v>
      </c>
      <c r="AQ30" s="10" t="s">
        <v>28</v>
      </c>
      <c r="AR30" s="25">
        <f>AC28</f>
        <v>5831.3553189621889</v>
      </c>
      <c r="AW30" s="50">
        <v>-161863.11472530855</v>
      </c>
      <c r="AX30" s="10">
        <v>-1222.5688149566338</v>
      </c>
      <c r="AY30" s="10">
        <v>283929.67696926749</v>
      </c>
      <c r="AZ30" s="10">
        <v>286669.53828667593</v>
      </c>
      <c r="BA30" s="10">
        <v>570906.37995435263</v>
      </c>
      <c r="BB30" s="10">
        <v>1449.080552565772</v>
      </c>
      <c r="BC30" s="51">
        <v>-10.380868224256886</v>
      </c>
    </row>
    <row r="31" spans="1:55" x14ac:dyDescent="0.25">
      <c r="A31" s="3">
        <f t="shared" si="2"/>
        <v>2009</v>
      </c>
      <c r="B31">
        <v>3</v>
      </c>
      <c r="C31">
        <v>64738.760225999999</v>
      </c>
      <c r="D31">
        <v>153.53</v>
      </c>
      <c r="E31" s="7">
        <v>32485.847000000002</v>
      </c>
      <c r="G31" s="25">
        <f t="shared" si="0"/>
        <v>64738.760225999999</v>
      </c>
      <c r="H31" s="34">
        <v>1</v>
      </c>
      <c r="I31" s="28">
        <v>19</v>
      </c>
      <c r="J31" s="10">
        <f t="shared" si="3"/>
        <v>0</v>
      </c>
      <c r="K31" s="10">
        <f t="shared" si="3"/>
        <v>1</v>
      </c>
      <c r="L31" s="10">
        <f t="shared" si="3"/>
        <v>0</v>
      </c>
      <c r="M31" s="23">
        <f t="shared" si="4"/>
        <v>153.53</v>
      </c>
      <c r="N31" s="35">
        <f t="shared" si="5"/>
        <v>32485.847000000002</v>
      </c>
      <c r="AQ31" s="10" t="s">
        <v>29</v>
      </c>
      <c r="AR31" s="25">
        <f>AC29</f>
        <v>141.30012337912922</v>
      </c>
      <c r="AW31" s="50">
        <v>-31111.009432850045</v>
      </c>
      <c r="AX31" s="10">
        <v>-1521.8696991721301</v>
      </c>
      <c r="AY31" s="10">
        <v>904.45732684188533</v>
      </c>
      <c r="AZ31" s="10">
        <v>1749.6549682264165</v>
      </c>
      <c r="BA31" s="10">
        <v>1449.0805525658016</v>
      </c>
      <c r="BB31" s="10">
        <v>740.4766192558493</v>
      </c>
      <c r="BC31" s="51">
        <v>-1.5907687583062071</v>
      </c>
    </row>
    <row r="32" spans="1:55" ht="15.75" thickBot="1" x14ac:dyDescent="0.3">
      <c r="A32" s="3">
        <f t="shared" si="2"/>
        <v>2009</v>
      </c>
      <c r="B32">
        <v>4</v>
      </c>
      <c r="C32">
        <v>63430.417705</v>
      </c>
      <c r="D32">
        <v>157.13999999999999</v>
      </c>
      <c r="E32" s="7">
        <v>33212.656000000003</v>
      </c>
      <c r="G32" s="25">
        <f t="shared" si="0"/>
        <v>63430.417705</v>
      </c>
      <c r="H32" s="34">
        <v>1</v>
      </c>
      <c r="I32" s="28">
        <v>20</v>
      </c>
      <c r="J32" s="10">
        <f t="shared" si="3"/>
        <v>0</v>
      </c>
      <c r="K32" s="10">
        <f t="shared" si="3"/>
        <v>0</v>
      </c>
      <c r="L32" s="10">
        <f t="shared" si="3"/>
        <v>1</v>
      </c>
      <c r="M32" s="23">
        <f t="shared" si="4"/>
        <v>157.13999999999999</v>
      </c>
      <c r="N32" s="35">
        <f t="shared" si="5"/>
        <v>33212.656000000003</v>
      </c>
      <c r="T32" s="28" t="s">
        <v>55</v>
      </c>
      <c r="AQ32" s="10" t="s">
        <v>30</v>
      </c>
      <c r="AR32" s="26">
        <f>AC30</f>
        <v>1.3441109400463347</v>
      </c>
      <c r="AW32" s="52">
        <v>-358.8664457069562</v>
      </c>
      <c r="AX32" s="38">
        <v>-3.3353562136727861</v>
      </c>
      <c r="AY32" s="38">
        <v>-3.9917570330886853</v>
      </c>
      <c r="AZ32" s="38">
        <v>-6.7983347364459092</v>
      </c>
      <c r="BA32" s="38">
        <v>-10.380868224257295</v>
      </c>
      <c r="BB32" s="38">
        <v>-1.5907687583062535</v>
      </c>
      <c r="BC32" s="53">
        <v>2.283847650926691E-2</v>
      </c>
    </row>
    <row r="33" spans="1:60" ht="15.75" thickBot="1" x14ac:dyDescent="0.3">
      <c r="A33" s="3">
        <f t="shared" si="2"/>
        <v>2010</v>
      </c>
      <c r="B33">
        <v>1</v>
      </c>
      <c r="C33">
        <v>58529.909031000003</v>
      </c>
      <c r="D33">
        <v>162.56</v>
      </c>
      <c r="E33" s="7">
        <v>32803.370000000003</v>
      </c>
      <c r="G33" s="25">
        <f t="shared" si="0"/>
        <v>58529.909031000003</v>
      </c>
      <c r="H33" s="34">
        <v>1</v>
      </c>
      <c r="I33" s="28">
        <v>21</v>
      </c>
      <c r="J33" s="10">
        <f t="shared" si="3"/>
        <v>0</v>
      </c>
      <c r="K33" s="10">
        <f t="shared" si="3"/>
        <v>0</v>
      </c>
      <c r="L33" s="10">
        <f t="shared" si="3"/>
        <v>0</v>
      </c>
      <c r="M33" s="23">
        <f t="shared" si="4"/>
        <v>162.56</v>
      </c>
      <c r="N33" s="35">
        <f t="shared" si="5"/>
        <v>32803.370000000003</v>
      </c>
      <c r="T33" s="14">
        <f t="array" ref="T33:Z39">100*_xlfn.MUNIT(Q17)</f>
        <v>100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49">
        <v>0</v>
      </c>
      <c r="AC33" s="10" t="s">
        <v>72</v>
      </c>
      <c r="AH33" s="10" t="s">
        <v>73</v>
      </c>
    </row>
    <row r="34" spans="1:60" ht="15.75" thickBot="1" x14ac:dyDescent="0.3">
      <c r="A34" s="3">
        <f t="shared" si="2"/>
        <v>2010</v>
      </c>
      <c r="B34">
        <v>2</v>
      </c>
      <c r="C34">
        <v>64860.832703</v>
      </c>
      <c r="D34">
        <v>160.16999999999999</v>
      </c>
      <c r="E34" s="7">
        <v>32206.828000000001</v>
      </c>
      <c r="G34" s="25">
        <f t="shared" si="0"/>
        <v>64860.832703</v>
      </c>
      <c r="H34" s="34">
        <v>1</v>
      </c>
      <c r="I34" s="28">
        <v>22</v>
      </c>
      <c r="J34" s="10">
        <f t="shared" si="3"/>
        <v>1</v>
      </c>
      <c r="K34" s="10">
        <f t="shared" si="3"/>
        <v>0</v>
      </c>
      <c r="L34" s="10">
        <f t="shared" si="3"/>
        <v>0</v>
      </c>
      <c r="M34" s="23">
        <f t="shared" si="4"/>
        <v>160.16999999999999</v>
      </c>
      <c r="N34" s="35">
        <f t="shared" si="5"/>
        <v>32206.828000000001</v>
      </c>
      <c r="T34" s="50">
        <v>0</v>
      </c>
      <c r="U34" s="10">
        <v>100</v>
      </c>
      <c r="V34" s="10">
        <v>0</v>
      </c>
      <c r="W34" s="10">
        <v>0</v>
      </c>
      <c r="X34" s="10">
        <v>0</v>
      </c>
      <c r="Y34" s="10">
        <v>0</v>
      </c>
      <c r="Z34" s="51">
        <v>0</v>
      </c>
      <c r="AB34" s="10" t="s">
        <v>65</v>
      </c>
      <c r="AC34" s="11">
        <f>AN35</f>
        <v>-4137.2407753192674</v>
      </c>
      <c r="AH34" s="10" t="s">
        <v>71</v>
      </c>
      <c r="AI34" s="10" t="s">
        <v>70</v>
      </c>
      <c r="AJ34" s="10" t="s">
        <v>69</v>
      </c>
      <c r="AK34" s="10" t="s">
        <v>68</v>
      </c>
      <c r="AL34" s="10" t="s">
        <v>67</v>
      </c>
      <c r="AM34" s="10" t="s">
        <v>66</v>
      </c>
      <c r="AN34" s="10" t="s">
        <v>65</v>
      </c>
      <c r="AQ34" s="55" t="s">
        <v>81</v>
      </c>
    </row>
    <row r="35" spans="1:60" x14ac:dyDescent="0.25">
      <c r="A35" s="3">
        <f t="shared" si="2"/>
        <v>2010</v>
      </c>
      <c r="B35">
        <v>3</v>
      </c>
      <c r="C35">
        <v>68175.792285000003</v>
      </c>
      <c r="D35">
        <v>162.81</v>
      </c>
      <c r="E35" s="7">
        <v>32094.646000000001</v>
      </c>
      <c r="G35" s="25">
        <f t="shared" si="0"/>
        <v>68175.792285000003</v>
      </c>
      <c r="H35" s="34">
        <v>1</v>
      </c>
      <c r="I35" s="28">
        <v>23</v>
      </c>
      <c r="J35" s="10">
        <f t="shared" si="3"/>
        <v>0</v>
      </c>
      <c r="K35" s="10">
        <f t="shared" si="3"/>
        <v>1</v>
      </c>
      <c r="L35" s="10">
        <f t="shared" si="3"/>
        <v>0</v>
      </c>
      <c r="M35" s="23">
        <f t="shared" si="4"/>
        <v>162.81</v>
      </c>
      <c r="N35" s="35">
        <f t="shared" si="5"/>
        <v>32094.646000000001</v>
      </c>
      <c r="T35" s="50">
        <v>0</v>
      </c>
      <c r="U35" s="10">
        <v>0</v>
      </c>
      <c r="V35" s="10">
        <v>100</v>
      </c>
      <c r="W35" s="10">
        <v>0</v>
      </c>
      <c r="X35" s="10">
        <v>0</v>
      </c>
      <c r="Y35" s="10">
        <v>0</v>
      </c>
      <c r="Z35" s="51">
        <v>0</v>
      </c>
      <c r="AB35" s="10" t="s">
        <v>66</v>
      </c>
      <c r="AC35" s="25">
        <f>AM35</f>
        <v>-71.154582814803021</v>
      </c>
      <c r="AH35" s="57">
        <f t="array" ref="AH35:AN39">LINEST(G13:G72,I13:N72,1,1)</f>
        <v>1.3504453250340258</v>
      </c>
      <c r="AI35" s="58">
        <v>142.04090615578011</v>
      </c>
      <c r="AJ35" s="58">
        <v>5869.6489656075773</v>
      </c>
      <c r="AK35" s="58">
        <v>7975.9312951948341</v>
      </c>
      <c r="AL35" s="58">
        <v>6401.7418848826374</v>
      </c>
      <c r="AM35" s="58">
        <v>-71.154582814803021</v>
      </c>
      <c r="AN35" s="59">
        <v>-4137.2407753192674</v>
      </c>
      <c r="BC35" s="10" t="s">
        <v>93</v>
      </c>
    </row>
    <row r="36" spans="1:60" x14ac:dyDescent="0.25">
      <c r="A36" s="3">
        <f t="shared" si="2"/>
        <v>2010</v>
      </c>
      <c r="B36">
        <v>4</v>
      </c>
      <c r="C36">
        <v>66854.695598999999</v>
      </c>
      <c r="D36">
        <v>164.13</v>
      </c>
      <c r="E36" s="7">
        <v>31983.793000000001</v>
      </c>
      <c r="G36" s="25">
        <f t="shared" si="0"/>
        <v>66854.695598999999</v>
      </c>
      <c r="H36" s="34">
        <v>1</v>
      </c>
      <c r="I36" s="28">
        <v>24</v>
      </c>
      <c r="J36" s="10">
        <f t="shared" si="3"/>
        <v>0</v>
      </c>
      <c r="K36" s="10">
        <f t="shared" si="3"/>
        <v>0</v>
      </c>
      <c r="L36" s="10">
        <f t="shared" si="3"/>
        <v>1</v>
      </c>
      <c r="M36" s="23">
        <f t="shared" si="4"/>
        <v>164.13</v>
      </c>
      <c r="N36" s="35">
        <f t="shared" si="5"/>
        <v>31983.793000000001</v>
      </c>
      <c r="T36" s="50">
        <v>0</v>
      </c>
      <c r="U36" s="10">
        <v>0</v>
      </c>
      <c r="V36" s="10">
        <v>0</v>
      </c>
      <c r="W36" s="10">
        <v>100</v>
      </c>
      <c r="X36" s="10">
        <v>0</v>
      </c>
      <c r="Y36" s="10">
        <v>0</v>
      </c>
      <c r="Z36" s="51">
        <v>0</v>
      </c>
      <c r="AB36" s="10" t="s">
        <v>67</v>
      </c>
      <c r="AC36" s="25">
        <f>AL35</f>
        <v>6401.7418848826374</v>
      </c>
      <c r="AH36" s="50">
        <v>0.16475628869753173</v>
      </c>
      <c r="AI36" s="10">
        <v>29.354199960317164</v>
      </c>
      <c r="AJ36" s="10">
        <v>814.15272557764092</v>
      </c>
      <c r="AK36" s="10">
        <v>812.79742134937089</v>
      </c>
      <c r="AL36" s="10">
        <v>809.90549748615342</v>
      </c>
      <c r="AM36" s="10">
        <v>81.981180704264347</v>
      </c>
      <c r="AN36" s="51">
        <v>3683.1807133644393</v>
      </c>
      <c r="AR36"/>
    </row>
    <row r="37" spans="1:60" x14ac:dyDescent="0.25">
      <c r="A37" s="3">
        <f t="shared" si="2"/>
        <v>2011</v>
      </c>
      <c r="B37">
        <v>1</v>
      </c>
      <c r="C37">
        <v>62096.668037000003</v>
      </c>
      <c r="D37">
        <v>164.56</v>
      </c>
      <c r="E37" s="7">
        <v>31955.817999999999</v>
      </c>
      <c r="G37" s="25">
        <f t="shared" si="0"/>
        <v>62096.668037000003</v>
      </c>
      <c r="H37" s="34">
        <v>1</v>
      </c>
      <c r="I37" s="28">
        <v>25</v>
      </c>
      <c r="J37" s="10">
        <f t="shared" si="3"/>
        <v>0</v>
      </c>
      <c r="K37" s="10">
        <f t="shared" si="3"/>
        <v>0</v>
      </c>
      <c r="L37" s="10">
        <f t="shared" si="3"/>
        <v>0</v>
      </c>
      <c r="M37" s="23">
        <f t="shared" si="4"/>
        <v>164.56</v>
      </c>
      <c r="N37" s="35">
        <f t="shared" si="5"/>
        <v>31955.817999999999</v>
      </c>
      <c r="T37" s="50">
        <v>0</v>
      </c>
      <c r="U37" s="10">
        <v>0</v>
      </c>
      <c r="V37" s="10">
        <v>0</v>
      </c>
      <c r="W37" s="10">
        <v>0</v>
      </c>
      <c r="X37" s="10">
        <v>100</v>
      </c>
      <c r="Y37" s="10">
        <v>0</v>
      </c>
      <c r="Z37" s="51">
        <v>0</v>
      </c>
      <c r="AB37" s="10" t="s">
        <v>68</v>
      </c>
      <c r="AC37" s="25">
        <f>AK35</f>
        <v>7975.9312951948341</v>
      </c>
      <c r="AH37" s="50">
        <v>0.97958071143263692</v>
      </c>
      <c r="AI37" s="10">
        <v>2214.9308063973631</v>
      </c>
      <c r="AJ37" s="10" t="e">
        <v>#N/A</v>
      </c>
      <c r="AK37" s="10" t="e">
        <v>#N/A</v>
      </c>
      <c r="AL37" s="10" t="e">
        <v>#N/A</v>
      </c>
      <c r="AM37" s="10" t="e">
        <v>#N/A</v>
      </c>
      <c r="AN37" s="51" t="e">
        <v>#N/A</v>
      </c>
      <c r="AS37" s="67" t="s">
        <v>85</v>
      </c>
      <c r="AT37" s="67"/>
      <c r="AU37" s="67"/>
      <c r="AV37" s="67"/>
      <c r="BC37" s="10" t="s">
        <v>94</v>
      </c>
    </row>
    <row r="38" spans="1:60" ht="15" customHeight="1" x14ac:dyDescent="0.25">
      <c r="A38" s="3">
        <f t="shared" si="2"/>
        <v>2011</v>
      </c>
      <c r="B38">
        <v>2</v>
      </c>
      <c r="C38">
        <v>70664.099925999995</v>
      </c>
      <c r="D38">
        <v>168.9</v>
      </c>
      <c r="E38" s="7">
        <v>32886.192999999999</v>
      </c>
      <c r="G38" s="25">
        <f t="shared" si="0"/>
        <v>70664.099925999995</v>
      </c>
      <c r="H38" s="34">
        <v>1</v>
      </c>
      <c r="I38" s="28">
        <v>26</v>
      </c>
      <c r="J38" s="10">
        <f t="shared" si="3"/>
        <v>1</v>
      </c>
      <c r="K38" s="10">
        <f t="shared" si="3"/>
        <v>0</v>
      </c>
      <c r="L38" s="10">
        <f t="shared" si="3"/>
        <v>0</v>
      </c>
      <c r="M38" s="23">
        <f t="shared" si="4"/>
        <v>168.9</v>
      </c>
      <c r="N38" s="35">
        <f t="shared" si="5"/>
        <v>32886.192999999999</v>
      </c>
      <c r="T38" s="5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100</v>
      </c>
      <c r="Z38" s="51">
        <v>0</v>
      </c>
      <c r="AB38" s="10" t="s">
        <v>69</v>
      </c>
      <c r="AC38" s="25">
        <f>AJ35</f>
        <v>5869.6489656075773</v>
      </c>
      <c r="AH38" s="50">
        <v>423.76417388109633</v>
      </c>
      <c r="AI38" s="10">
        <v>53</v>
      </c>
      <c r="AJ38" s="10" t="e">
        <v>#N/A</v>
      </c>
      <c r="AK38" s="10" t="e">
        <v>#N/A</v>
      </c>
      <c r="AL38" s="10" t="e">
        <v>#N/A</v>
      </c>
      <c r="AM38" s="10" t="e">
        <v>#N/A</v>
      </c>
      <c r="AN38" s="51" t="e">
        <v>#N/A</v>
      </c>
      <c r="AS38" s="67"/>
      <c r="AT38" s="67"/>
      <c r="AU38" s="67"/>
      <c r="AV38" s="67"/>
    </row>
    <row r="39" spans="1:60" ht="15.75" thickBot="1" x14ac:dyDescent="0.3">
      <c r="A39" s="3">
        <f t="shared" si="2"/>
        <v>2011</v>
      </c>
      <c r="B39">
        <v>3</v>
      </c>
      <c r="C39">
        <v>72340.903619999997</v>
      </c>
      <c r="D39">
        <v>169.71</v>
      </c>
      <c r="E39" s="7">
        <v>31727.071</v>
      </c>
      <c r="G39" s="25">
        <f t="shared" si="0"/>
        <v>72340.903619999997</v>
      </c>
      <c r="H39" s="34">
        <v>1</v>
      </c>
      <c r="I39" s="28">
        <v>27</v>
      </c>
      <c r="J39" s="10">
        <f t="shared" si="3"/>
        <v>0</v>
      </c>
      <c r="K39" s="10">
        <f t="shared" si="3"/>
        <v>1</v>
      </c>
      <c r="L39" s="10">
        <f t="shared" si="3"/>
        <v>0</v>
      </c>
      <c r="M39" s="23">
        <f t="shared" si="4"/>
        <v>169.71</v>
      </c>
      <c r="N39" s="35">
        <f t="shared" si="5"/>
        <v>31727.071</v>
      </c>
      <c r="T39" s="52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53">
        <v>100</v>
      </c>
      <c r="AB39" s="10" t="s">
        <v>70</v>
      </c>
      <c r="AC39" s="25">
        <f>AI35</f>
        <v>142.04090615578011</v>
      </c>
      <c r="AH39" s="52">
        <v>12473714943.529106</v>
      </c>
      <c r="AI39" s="38">
        <v>260013679.28778788</v>
      </c>
      <c r="AJ39" s="38" t="e">
        <v>#N/A</v>
      </c>
      <c r="AK39" s="38" t="e">
        <v>#N/A</v>
      </c>
      <c r="AL39" s="38" t="e">
        <v>#N/A</v>
      </c>
      <c r="AM39" s="38" t="e">
        <v>#N/A</v>
      </c>
      <c r="AN39" s="53" t="e">
        <v>#N/A</v>
      </c>
      <c r="AS39" s="67"/>
      <c r="AT39" s="67"/>
      <c r="AU39" s="67"/>
      <c r="AV39" s="67"/>
      <c r="AW39" s="10" t="s">
        <v>88</v>
      </c>
      <c r="BC39" s="10" t="s">
        <v>95</v>
      </c>
      <c r="BD39" s="10">
        <f>AS46</f>
        <v>141.30012337912922</v>
      </c>
    </row>
    <row r="40" spans="1:60" ht="15.75" thickBot="1" x14ac:dyDescent="0.3">
      <c r="A40" s="3">
        <f t="shared" si="2"/>
        <v>2011</v>
      </c>
      <c r="B40">
        <v>4</v>
      </c>
      <c r="C40">
        <v>72694.405287000001</v>
      </c>
      <c r="D40">
        <v>173.92</v>
      </c>
      <c r="E40" s="7">
        <v>32044.946</v>
      </c>
      <c r="G40" s="25">
        <f t="shared" si="0"/>
        <v>72694.405287000001</v>
      </c>
      <c r="H40" s="34">
        <v>1</v>
      </c>
      <c r="I40" s="28">
        <v>28</v>
      </c>
      <c r="J40" s="10">
        <f t="shared" si="3"/>
        <v>0</v>
      </c>
      <c r="K40" s="10">
        <f t="shared" si="3"/>
        <v>0</v>
      </c>
      <c r="L40" s="10">
        <f t="shared" si="3"/>
        <v>1</v>
      </c>
      <c r="M40" s="23">
        <f t="shared" si="4"/>
        <v>173.92</v>
      </c>
      <c r="N40" s="35">
        <f t="shared" si="5"/>
        <v>32044.946</v>
      </c>
      <c r="AB40" s="10" t="s">
        <v>71</v>
      </c>
      <c r="AC40" s="26">
        <f>AH35</f>
        <v>1.3504453250340258</v>
      </c>
      <c r="AQ40" s="71" t="s">
        <v>82</v>
      </c>
      <c r="AR40" s="70" t="s">
        <v>83</v>
      </c>
      <c r="AS40" s="70" t="s">
        <v>84</v>
      </c>
      <c r="AT40" s="69" t="s">
        <v>86</v>
      </c>
      <c r="AU40" s="70" t="s">
        <v>87</v>
      </c>
      <c r="AV40" s="72" t="s">
        <v>118</v>
      </c>
      <c r="AW40" s="73" t="s">
        <v>22</v>
      </c>
      <c r="AX40" s="74" t="s">
        <v>23</v>
      </c>
      <c r="BC40" s="10" t="s">
        <v>96</v>
      </c>
      <c r="BD40" s="10">
        <f>AU46</f>
        <v>27.211700043471179</v>
      </c>
    </row>
    <row r="41" spans="1:60" x14ac:dyDescent="0.25">
      <c r="A41" s="3">
        <f t="shared" si="2"/>
        <v>2012</v>
      </c>
      <c r="B41">
        <v>1</v>
      </c>
      <c r="C41">
        <v>66350.150739000004</v>
      </c>
      <c r="D41">
        <v>176.4</v>
      </c>
      <c r="E41" s="7">
        <v>32031.120999999999</v>
      </c>
      <c r="G41" s="25">
        <f t="shared" si="0"/>
        <v>66350.150739000004</v>
      </c>
      <c r="H41" s="34">
        <v>1</v>
      </c>
      <c r="I41" s="28">
        <v>29</v>
      </c>
      <c r="J41" s="10">
        <f t="shared" si="3"/>
        <v>0</v>
      </c>
      <c r="K41" s="10">
        <f t="shared" si="3"/>
        <v>0</v>
      </c>
      <c r="L41" s="10">
        <f t="shared" si="3"/>
        <v>0</v>
      </c>
      <c r="M41" s="23">
        <f t="shared" si="4"/>
        <v>176.4</v>
      </c>
      <c r="N41" s="35">
        <f t="shared" si="5"/>
        <v>32031.120999999999</v>
      </c>
      <c r="AQ41" s="11">
        <v>0</v>
      </c>
      <c r="AR41" s="11" t="s">
        <v>24</v>
      </c>
      <c r="AS41" s="11">
        <f>AR26</f>
        <v>-3897.520995747298</v>
      </c>
      <c r="AT41" s="11" cm="1">
        <f t="array" ref="AT41">INDEX(_xlfn.ANCHORARRAY($AW$26),AQ41+1,AQ41+1)</f>
        <v>11118328.782051701</v>
      </c>
      <c r="AU41" s="11">
        <f>SQRT(AT41)</f>
        <v>3334.4158082116423</v>
      </c>
      <c r="AV41" s="11">
        <f>$AD$8/($AD$8-2)/AT41</f>
        <v>9.2842915940973205E-8</v>
      </c>
      <c r="AW41" s="31">
        <f>AS41-$AW$57/AV41^0.5</f>
        <v>-10453.874025890429</v>
      </c>
      <c r="AX41" s="49">
        <f>AS41+$AW$57/AV41^0.5</f>
        <v>2658.832034395833</v>
      </c>
      <c r="BF41" s="10" t="s">
        <v>99</v>
      </c>
    </row>
    <row r="42" spans="1:60" x14ac:dyDescent="0.25">
      <c r="A42" s="3">
        <f t="shared" si="2"/>
        <v>2012</v>
      </c>
      <c r="B42">
        <v>2</v>
      </c>
      <c r="C42">
        <v>72499.083404999998</v>
      </c>
      <c r="D42">
        <v>178.15</v>
      </c>
      <c r="E42" s="7">
        <v>32673.521000000001</v>
      </c>
      <c r="G42" s="25">
        <f t="shared" si="0"/>
        <v>72499.083404999998</v>
      </c>
      <c r="H42" s="34">
        <v>1</v>
      </c>
      <c r="I42" s="28">
        <v>30</v>
      </c>
      <c r="J42" s="10">
        <f t="shared" si="3"/>
        <v>1</v>
      </c>
      <c r="K42" s="10">
        <f t="shared" si="3"/>
        <v>0</v>
      </c>
      <c r="L42" s="10">
        <f t="shared" si="3"/>
        <v>0</v>
      </c>
      <c r="M42" s="23">
        <f t="shared" si="4"/>
        <v>178.15</v>
      </c>
      <c r="N42" s="35">
        <f t="shared" si="5"/>
        <v>32673.521000000001</v>
      </c>
      <c r="AQ42" s="25">
        <v>1</v>
      </c>
      <c r="AR42" s="25" t="s">
        <v>25</v>
      </c>
      <c r="AS42" s="25">
        <f t="shared" ref="AS42:AS47" si="6">AR27</f>
        <v>-67.025006975265569</v>
      </c>
      <c r="AT42" s="25" cm="1">
        <f t="array" ref="AT42">INDEX(_xlfn.ANCHORARRAY($AW$26),AQ42+1,AQ42+1)</f>
        <v>5610.6039579274075</v>
      </c>
      <c r="AU42" s="25">
        <f t="shared" ref="AU42:AU47" si="7">SQRT(AT42)</f>
        <v>74.903964901248102</v>
      </c>
      <c r="AV42" s="25">
        <f t="shared" ref="AV42:AV47" si="8">$AD$8/($AD$8-2)/AT42</f>
        <v>1.8398341288331671E-4</v>
      </c>
      <c r="AW42" s="10">
        <f t="shared" ref="AW42:AW47" si="9">AS42-$AW$57/AV42^0.5</f>
        <v>-214.30622968318698</v>
      </c>
      <c r="AX42" s="51">
        <f t="shared" ref="AX42:AX47" si="10">AS42+$AW$57/AV42^0.5</f>
        <v>80.256215732655846</v>
      </c>
      <c r="BC42" s="28" t="s">
        <v>97</v>
      </c>
      <c r="BE42" s="10">
        <f>BD39-4*BD40</f>
        <v>32.453323205244502</v>
      </c>
      <c r="BF42" s="10">
        <v>30</v>
      </c>
    </row>
    <row r="43" spans="1:60" x14ac:dyDescent="0.25">
      <c r="A43" s="3">
        <f t="shared" si="2"/>
        <v>2012</v>
      </c>
      <c r="B43">
        <v>3</v>
      </c>
      <c r="C43">
        <v>74605.804109000004</v>
      </c>
      <c r="D43">
        <v>178.24</v>
      </c>
      <c r="E43" s="7">
        <v>33166.864000000001</v>
      </c>
      <c r="G43" s="25">
        <f t="shared" si="0"/>
        <v>74605.804109000004</v>
      </c>
      <c r="H43" s="34">
        <v>1</v>
      </c>
      <c r="I43" s="28">
        <v>31</v>
      </c>
      <c r="J43" s="10">
        <f t="shared" si="3"/>
        <v>0</v>
      </c>
      <c r="K43" s="10">
        <f t="shared" si="3"/>
        <v>1</v>
      </c>
      <c r="L43" s="10">
        <f t="shared" si="3"/>
        <v>0</v>
      </c>
      <c r="M43" s="23">
        <f t="shared" si="4"/>
        <v>178.24</v>
      </c>
      <c r="N43" s="35">
        <f t="shared" si="5"/>
        <v>33166.864000000001</v>
      </c>
      <c r="U43"/>
      <c r="AQ43" s="25">
        <v>2</v>
      </c>
      <c r="AR43" s="25" t="s">
        <v>26</v>
      </c>
      <c r="AS43" s="25">
        <f t="shared" si="6"/>
        <v>6360.9781294192071</v>
      </c>
      <c r="AT43" s="25" cm="1">
        <f t="array" ref="AT43">INDEX(_xlfn.ANCHORARRAY($AW$26),AQ43+1,AQ43+1)</f>
        <v>564755.27285444352</v>
      </c>
      <c r="AU43" s="25">
        <f t="shared" si="7"/>
        <v>751.50201121117664</v>
      </c>
      <c r="AV43" s="25">
        <f t="shared" si="8"/>
        <v>1.8277971258219251E-6</v>
      </c>
      <c r="AW43" s="10">
        <f t="shared" si="9"/>
        <v>4883.3242398745706</v>
      </c>
      <c r="AX43" s="51">
        <f t="shared" si="10"/>
        <v>7838.6320189638436</v>
      </c>
      <c r="BC43" s="28" t="s">
        <v>98</v>
      </c>
      <c r="BE43" s="10">
        <f>BD39+4*BD40</f>
        <v>250.14692355301395</v>
      </c>
      <c r="BF43" s="10">
        <v>255</v>
      </c>
    </row>
    <row r="44" spans="1:60" x14ac:dyDescent="0.25">
      <c r="A44" s="3">
        <f t="shared" si="2"/>
        <v>2012</v>
      </c>
      <c r="B44">
        <v>4</v>
      </c>
      <c r="C44">
        <v>72211.508877999993</v>
      </c>
      <c r="D44">
        <v>181.88</v>
      </c>
      <c r="E44" s="7">
        <v>33291.110999999997</v>
      </c>
      <c r="G44" s="25">
        <f t="shared" si="0"/>
        <v>72211.508877999993</v>
      </c>
      <c r="H44" s="34">
        <v>1</v>
      </c>
      <c r="I44" s="28">
        <v>32</v>
      </c>
      <c r="J44" s="10">
        <f t="shared" si="3"/>
        <v>0</v>
      </c>
      <c r="K44" s="10">
        <f t="shared" si="3"/>
        <v>0</v>
      </c>
      <c r="L44" s="10">
        <f t="shared" si="3"/>
        <v>1</v>
      </c>
      <c r="M44" s="23">
        <f t="shared" si="4"/>
        <v>181.88</v>
      </c>
      <c r="N44" s="35">
        <f t="shared" si="5"/>
        <v>33291.110999999997</v>
      </c>
      <c r="P44" s="66" t="s">
        <v>82</v>
      </c>
      <c r="Q44" s="10" t="s">
        <v>83</v>
      </c>
      <c r="R44" s="10" t="s">
        <v>123</v>
      </c>
      <c r="S44" s="28" t="s">
        <v>124</v>
      </c>
      <c r="AQ44" s="25">
        <v>3</v>
      </c>
      <c r="AR44" s="25" t="s">
        <v>27</v>
      </c>
      <c r="AS44" s="25">
        <f t="shared" si="6"/>
        <v>7932.718486872327</v>
      </c>
      <c r="AT44" s="25" cm="1">
        <f t="array" ref="AT44">INDEX(_xlfn.ANCHORARRAY($AW$26),AQ44+1,AQ44+1)</f>
        <v>568766.58809512074</v>
      </c>
      <c r="AU44" s="25">
        <f t="shared" si="7"/>
        <v>754.1661541697033</v>
      </c>
      <c r="AV44" s="25">
        <f t="shared" si="8"/>
        <v>1.8149063009719091E-6</v>
      </c>
      <c r="AW44" s="10">
        <f t="shared" si="9"/>
        <v>6449.8261799365982</v>
      </c>
      <c r="AX44" s="51">
        <f t="shared" si="10"/>
        <v>9415.6107938080568</v>
      </c>
    </row>
    <row r="45" spans="1:60" x14ac:dyDescent="0.25">
      <c r="A45" s="3">
        <f t="shared" si="2"/>
        <v>2013</v>
      </c>
      <c r="B45">
        <v>1</v>
      </c>
      <c r="C45">
        <v>67034.369783999995</v>
      </c>
      <c r="D45">
        <v>184.34</v>
      </c>
      <c r="E45" s="7">
        <v>33644.319000000003</v>
      </c>
      <c r="G45" s="25">
        <f t="shared" ref="G45:G72" si="11">C45</f>
        <v>67034.369783999995</v>
      </c>
      <c r="H45" s="34">
        <v>1</v>
      </c>
      <c r="I45" s="28">
        <v>33</v>
      </c>
      <c r="J45" s="10">
        <f t="shared" si="3"/>
        <v>0</v>
      </c>
      <c r="K45" s="10">
        <f t="shared" si="3"/>
        <v>0</v>
      </c>
      <c r="L45" s="10">
        <f t="shared" si="3"/>
        <v>0</v>
      </c>
      <c r="M45" s="23">
        <f t="shared" si="4"/>
        <v>184.34</v>
      </c>
      <c r="N45" s="35">
        <f t="shared" si="5"/>
        <v>33644.319000000003</v>
      </c>
      <c r="P45" s="10">
        <v>0</v>
      </c>
      <c r="Q45" s="10" t="s">
        <v>24</v>
      </c>
      <c r="R45" s="10" cm="1">
        <f t="array" ref="R45">INDEX($T$33:$Z$39,P45+1,P45+1)</f>
        <v>100</v>
      </c>
      <c r="S45" s="10">
        <f>$T$8/($T$8-2)/R45</f>
        <v>0.02</v>
      </c>
      <c r="AQ45" s="25">
        <v>4</v>
      </c>
      <c r="AR45" s="25" t="s">
        <v>28</v>
      </c>
      <c r="AS45" s="25">
        <f t="shared" si="6"/>
        <v>5831.3553189621889</v>
      </c>
      <c r="AT45" s="25" cm="1">
        <f t="array" ref="AT45">INDEX(_xlfn.ANCHORARRAY($AW$26),AQ45+1,AQ45+1)</f>
        <v>570906.37995435263</v>
      </c>
      <c r="AU45" s="25">
        <f t="shared" si="7"/>
        <v>755.58346987897551</v>
      </c>
      <c r="AV45" s="25">
        <f t="shared" si="8"/>
        <v>1.8081039216949444E-6</v>
      </c>
      <c r="AW45" s="10">
        <f t="shared" si="9"/>
        <v>4345.6761903822389</v>
      </c>
      <c r="AX45" s="51">
        <f t="shared" si="10"/>
        <v>7317.0344475421389</v>
      </c>
      <c r="BC45" s="28" t="s">
        <v>100</v>
      </c>
      <c r="BF45" s="10">
        <f>BF43-BF42</f>
        <v>225</v>
      </c>
    </row>
    <row r="46" spans="1:60" x14ac:dyDescent="0.25">
      <c r="A46" s="3">
        <f t="shared" si="2"/>
        <v>2013</v>
      </c>
      <c r="B46">
        <v>2</v>
      </c>
      <c r="C46">
        <v>73754.302972000005</v>
      </c>
      <c r="D46">
        <v>184.82</v>
      </c>
      <c r="E46" s="7">
        <v>34401.978000000003</v>
      </c>
      <c r="G46" s="25">
        <f t="shared" si="11"/>
        <v>73754.302972000005</v>
      </c>
      <c r="H46" s="34">
        <v>1</v>
      </c>
      <c r="I46" s="28">
        <v>34</v>
      </c>
      <c r="J46" s="10">
        <f t="shared" ref="J46:L72" si="12">IF($B46=J$10,1,0)</f>
        <v>1</v>
      </c>
      <c r="K46" s="10">
        <f t="shared" si="12"/>
        <v>0</v>
      </c>
      <c r="L46" s="10">
        <f t="shared" si="12"/>
        <v>0</v>
      </c>
      <c r="M46" s="23">
        <f t="shared" si="4"/>
        <v>184.82</v>
      </c>
      <c r="N46" s="35">
        <f t="shared" si="5"/>
        <v>34401.978000000003</v>
      </c>
      <c r="P46" s="10">
        <v>1</v>
      </c>
      <c r="Q46" s="28" t="s">
        <v>25</v>
      </c>
      <c r="R46" s="10" cm="1">
        <f t="array" ref="R46">INDEX($T$33:$Z$39,P46+1,P46+1)</f>
        <v>100</v>
      </c>
      <c r="S46" s="10">
        <f t="shared" ref="S46:S51" si="13">$T$8/($T$8-2)/R46</f>
        <v>0.02</v>
      </c>
      <c r="AQ46" s="25">
        <v>5</v>
      </c>
      <c r="AR46" s="25" t="s">
        <v>29</v>
      </c>
      <c r="AS46" s="25">
        <f t="shared" si="6"/>
        <v>141.30012337912922</v>
      </c>
      <c r="AT46" s="25" cm="1">
        <f t="array" ref="AT46">INDEX(_xlfn.ANCHORARRAY($AW$26),AQ46+1,AQ46+1)</f>
        <v>740.4766192558493</v>
      </c>
      <c r="AU46" s="25">
        <f t="shared" si="7"/>
        <v>27.211700043471179</v>
      </c>
      <c r="AV46" s="25">
        <f t="shared" si="8"/>
        <v>1.3940454535262827E-3</v>
      </c>
      <c r="AW46" s="10">
        <f t="shared" si="9"/>
        <v>87.794645269293483</v>
      </c>
      <c r="AX46" s="51">
        <f t="shared" si="10"/>
        <v>194.80560148896495</v>
      </c>
    </row>
    <row r="47" spans="1:60" ht="15.75" thickBot="1" x14ac:dyDescent="0.3">
      <c r="A47" s="3">
        <f t="shared" si="2"/>
        <v>2013</v>
      </c>
      <c r="B47">
        <v>3</v>
      </c>
      <c r="C47" s="4">
        <v>77633.761452000006</v>
      </c>
      <c r="D47" s="4">
        <v>185.87</v>
      </c>
      <c r="E47" s="9">
        <v>34896.921000000002</v>
      </c>
      <c r="G47" s="25">
        <f t="shared" si="11"/>
        <v>77633.761452000006</v>
      </c>
      <c r="H47" s="34">
        <v>1</v>
      </c>
      <c r="I47" s="28">
        <v>35</v>
      </c>
      <c r="J47" s="10">
        <f t="shared" si="12"/>
        <v>0</v>
      </c>
      <c r="K47" s="10">
        <f t="shared" si="12"/>
        <v>1</v>
      </c>
      <c r="L47" s="10">
        <f t="shared" si="12"/>
        <v>0</v>
      </c>
      <c r="M47" s="23">
        <f t="shared" si="4"/>
        <v>185.87</v>
      </c>
      <c r="N47" s="35">
        <f t="shared" si="5"/>
        <v>34896.921000000002</v>
      </c>
      <c r="P47" s="10">
        <v>2</v>
      </c>
      <c r="Q47" s="28" t="s">
        <v>26</v>
      </c>
      <c r="R47" s="10" cm="1">
        <f t="array" ref="R47">INDEX($T$33:$Z$39,P47+1,P47+1)</f>
        <v>100</v>
      </c>
      <c r="S47" s="10">
        <f t="shared" si="13"/>
        <v>0.02</v>
      </c>
      <c r="AQ47" s="26">
        <v>6</v>
      </c>
      <c r="AR47" s="26" t="s">
        <v>30</v>
      </c>
      <c r="AS47" s="26">
        <f t="shared" si="6"/>
        <v>1.3441109400463347</v>
      </c>
      <c r="AT47" s="26" cm="1">
        <f t="array" ref="AT47">INDEX(_xlfn.ANCHORARRAY($AW$26),AQ47+1,AQ47+1)</f>
        <v>2.283847650926691E-2</v>
      </c>
      <c r="AU47" s="26">
        <f t="shared" si="7"/>
        <v>0.15112404345195013</v>
      </c>
      <c r="AV47" s="26">
        <f t="shared" si="8"/>
        <v>45.198201556801799</v>
      </c>
      <c r="AW47" s="38">
        <f t="shared" si="9"/>
        <v>1.0469606632951318</v>
      </c>
      <c r="AX47" s="53">
        <f t="shared" si="10"/>
        <v>1.6412612167975376</v>
      </c>
      <c r="BC47" s="28" t="s">
        <v>101</v>
      </c>
      <c r="BF47" s="10">
        <v>100</v>
      </c>
      <c r="BH47" s="10" t="s">
        <v>110</v>
      </c>
    </row>
    <row r="48" spans="1:60" x14ac:dyDescent="0.25">
      <c r="A48" s="3">
        <f t="shared" si="2"/>
        <v>2013</v>
      </c>
      <c r="B48">
        <v>4</v>
      </c>
      <c r="C48">
        <v>75834.407705000005</v>
      </c>
      <c r="D48">
        <v>188.76</v>
      </c>
      <c r="E48" s="9">
        <v>34658.65</v>
      </c>
      <c r="G48" s="25">
        <f t="shared" si="11"/>
        <v>75834.407705000005</v>
      </c>
      <c r="H48" s="34">
        <v>1</v>
      </c>
      <c r="I48" s="28">
        <v>36</v>
      </c>
      <c r="J48" s="10">
        <f t="shared" si="12"/>
        <v>0</v>
      </c>
      <c r="K48" s="10">
        <f t="shared" si="12"/>
        <v>0</v>
      </c>
      <c r="L48" s="10">
        <f t="shared" si="12"/>
        <v>1</v>
      </c>
      <c r="M48" s="23">
        <f t="shared" si="4"/>
        <v>188.76</v>
      </c>
      <c r="N48" s="35">
        <f t="shared" si="5"/>
        <v>34658.65</v>
      </c>
      <c r="P48" s="10">
        <v>3</v>
      </c>
      <c r="Q48" s="28" t="s">
        <v>27</v>
      </c>
      <c r="R48" s="10" cm="1">
        <f t="array" ref="R48">INDEX($T$33:$Z$39,P48+1,P48+1)</f>
        <v>100</v>
      </c>
      <c r="S48" s="10">
        <f t="shared" si="13"/>
        <v>0.02</v>
      </c>
    </row>
    <row r="49" spans="1:61" ht="15.75" thickBot="1" x14ac:dyDescent="0.3">
      <c r="A49" s="3">
        <f t="shared" si="2"/>
        <v>2014</v>
      </c>
      <c r="B49">
        <v>1</v>
      </c>
      <c r="C49">
        <v>69852.187491999997</v>
      </c>
      <c r="D49">
        <v>191.08</v>
      </c>
      <c r="E49" s="7">
        <v>34744.93</v>
      </c>
      <c r="G49" s="25">
        <f t="shared" si="11"/>
        <v>69852.187491999997</v>
      </c>
      <c r="H49" s="34">
        <v>1</v>
      </c>
      <c r="I49" s="28">
        <v>37</v>
      </c>
      <c r="J49" s="10">
        <f t="shared" si="12"/>
        <v>0</v>
      </c>
      <c r="K49" s="10">
        <f t="shared" si="12"/>
        <v>0</v>
      </c>
      <c r="L49" s="10">
        <f t="shared" si="12"/>
        <v>0</v>
      </c>
      <c r="M49" s="23">
        <f t="shared" si="4"/>
        <v>191.08</v>
      </c>
      <c r="N49" s="35">
        <f t="shared" si="5"/>
        <v>34744.93</v>
      </c>
      <c r="P49" s="10">
        <v>4</v>
      </c>
      <c r="Q49" s="28" t="s">
        <v>28</v>
      </c>
      <c r="R49" s="10" cm="1">
        <f t="array" ref="R49">INDEX($T$33:$Z$39,P49+1,P49+1)</f>
        <v>100</v>
      </c>
      <c r="S49" s="10">
        <f t="shared" si="13"/>
        <v>0.02</v>
      </c>
      <c r="AV49"/>
      <c r="BC49" s="10" t="s">
        <v>102</v>
      </c>
      <c r="BH49" s="10" t="s">
        <v>111</v>
      </c>
    </row>
    <row r="50" spans="1:61" ht="15.75" thickBot="1" x14ac:dyDescent="0.3">
      <c r="A50" s="3">
        <f t="shared" si="2"/>
        <v>2014</v>
      </c>
      <c r="B50">
        <v>2</v>
      </c>
      <c r="C50">
        <v>77084.831644000005</v>
      </c>
      <c r="D50">
        <v>195.13</v>
      </c>
      <c r="E50" s="7">
        <v>35172.203000000001</v>
      </c>
      <c r="G50" s="25">
        <f t="shared" si="11"/>
        <v>77084.831644000005</v>
      </c>
      <c r="H50" s="34">
        <v>1</v>
      </c>
      <c r="I50" s="28">
        <v>38</v>
      </c>
      <c r="J50" s="10">
        <f t="shared" si="12"/>
        <v>1</v>
      </c>
      <c r="K50" s="10">
        <f t="shared" si="12"/>
        <v>0</v>
      </c>
      <c r="L50" s="10">
        <f t="shared" si="12"/>
        <v>0</v>
      </c>
      <c r="M50" s="23">
        <f t="shared" si="4"/>
        <v>195.13</v>
      </c>
      <c r="N50" s="35">
        <f t="shared" si="5"/>
        <v>35172.203000000001</v>
      </c>
      <c r="P50" s="10">
        <v>5</v>
      </c>
      <c r="Q50" s="28" t="s">
        <v>29</v>
      </c>
      <c r="R50" s="10" cm="1">
        <f t="array" ref="R50">INDEX($T$33:$Z$39,P50+1,P50+1)</f>
        <v>100</v>
      </c>
      <c r="S50" s="70">
        <f t="shared" si="13"/>
        <v>0.02</v>
      </c>
      <c r="T50" s="10" t="s">
        <v>125</v>
      </c>
      <c r="BC50" s="28" t="s">
        <v>103</v>
      </c>
      <c r="BF50" s="10">
        <f>BF45/BF47</f>
        <v>2.25</v>
      </c>
      <c r="BH50" s="10" t="s">
        <v>112</v>
      </c>
    </row>
    <row r="51" spans="1:61" x14ac:dyDescent="0.25">
      <c r="A51" s="3">
        <f t="shared" si="2"/>
        <v>2014</v>
      </c>
      <c r="B51">
        <v>3</v>
      </c>
      <c r="C51">
        <v>78026.801374999995</v>
      </c>
      <c r="D51">
        <v>196.95</v>
      </c>
      <c r="E51" s="7">
        <v>35509.286999999997</v>
      </c>
      <c r="G51" s="25">
        <f t="shared" si="11"/>
        <v>78026.801374999995</v>
      </c>
      <c r="H51" s="34">
        <v>1</v>
      </c>
      <c r="I51" s="28">
        <v>39</v>
      </c>
      <c r="J51" s="10">
        <f t="shared" si="12"/>
        <v>0</v>
      </c>
      <c r="K51" s="10">
        <f t="shared" si="12"/>
        <v>1</v>
      </c>
      <c r="L51" s="10">
        <f t="shared" si="12"/>
        <v>0</v>
      </c>
      <c r="M51" s="23">
        <f t="shared" si="4"/>
        <v>196.95</v>
      </c>
      <c r="N51" s="35">
        <f t="shared" si="5"/>
        <v>35509.286999999997</v>
      </c>
      <c r="P51" s="10">
        <v>6</v>
      </c>
      <c r="Q51" s="28" t="s">
        <v>30</v>
      </c>
      <c r="R51" s="10" cm="1">
        <f t="array" ref="R51">INDEX($T$33:$Z$39,P51+1,P51+1)</f>
        <v>100</v>
      </c>
      <c r="S51" s="10">
        <f t="shared" si="13"/>
        <v>0.02</v>
      </c>
      <c r="BH51" s="28" t="s">
        <v>113</v>
      </c>
    </row>
    <row r="52" spans="1:61" x14ac:dyDescent="0.25">
      <c r="A52" s="3">
        <f t="shared" si="2"/>
        <v>2014</v>
      </c>
      <c r="B52">
        <v>4</v>
      </c>
      <c r="C52">
        <v>75528.880665000004</v>
      </c>
      <c r="D52">
        <v>205.31</v>
      </c>
      <c r="E52" s="7">
        <v>36068.822</v>
      </c>
      <c r="G52" s="25">
        <f t="shared" si="11"/>
        <v>75528.880665000004</v>
      </c>
      <c r="H52" s="34">
        <v>1</v>
      </c>
      <c r="I52" s="28">
        <v>40</v>
      </c>
      <c r="J52" s="10">
        <f t="shared" si="12"/>
        <v>0</v>
      </c>
      <c r="K52" s="10">
        <f t="shared" si="12"/>
        <v>0</v>
      </c>
      <c r="L52" s="10">
        <f t="shared" si="12"/>
        <v>1</v>
      </c>
      <c r="M52" s="23">
        <f t="shared" si="4"/>
        <v>205.31</v>
      </c>
      <c r="N52" s="35">
        <f t="shared" si="5"/>
        <v>36068.822</v>
      </c>
      <c r="AW52"/>
      <c r="BH52" s="28" t="s">
        <v>114</v>
      </c>
    </row>
    <row r="53" spans="1:61" x14ac:dyDescent="0.25">
      <c r="A53" s="3">
        <f t="shared" si="2"/>
        <v>2015</v>
      </c>
      <c r="B53">
        <v>1</v>
      </c>
      <c r="C53">
        <v>69060.220042000001</v>
      </c>
      <c r="D53">
        <v>209.36</v>
      </c>
      <c r="E53" s="7">
        <v>35554.724000000002</v>
      </c>
      <c r="G53" s="25">
        <f t="shared" si="11"/>
        <v>69060.220042000001</v>
      </c>
      <c r="H53" s="34">
        <v>1</v>
      </c>
      <c r="I53" s="28">
        <v>41</v>
      </c>
      <c r="J53" s="10">
        <f t="shared" si="12"/>
        <v>0</v>
      </c>
      <c r="K53" s="10">
        <f t="shared" si="12"/>
        <v>0</v>
      </c>
      <c r="L53" s="10">
        <f t="shared" si="12"/>
        <v>0</v>
      </c>
      <c r="M53" s="23">
        <f t="shared" si="4"/>
        <v>209.36</v>
      </c>
      <c r="N53" s="35">
        <f t="shared" si="5"/>
        <v>35554.724000000002</v>
      </c>
      <c r="AV53" s="10" t="s">
        <v>90</v>
      </c>
      <c r="BI53"/>
    </row>
    <row r="54" spans="1:61" ht="15.75" thickBot="1" x14ac:dyDescent="0.3">
      <c r="A54" s="3">
        <f t="shared" si="2"/>
        <v>2015</v>
      </c>
      <c r="B54">
        <v>2</v>
      </c>
      <c r="C54">
        <v>75161.716558726417</v>
      </c>
      <c r="D54">
        <v>211.18</v>
      </c>
      <c r="E54" s="7">
        <v>34358.048999999999</v>
      </c>
      <c r="G54" s="25">
        <f t="shared" si="11"/>
        <v>75161.716558726417</v>
      </c>
      <c r="H54" s="34">
        <v>1</v>
      </c>
      <c r="I54" s="28">
        <v>42</v>
      </c>
      <c r="J54" s="10">
        <f t="shared" si="12"/>
        <v>1</v>
      </c>
      <c r="K54" s="10">
        <f t="shared" si="12"/>
        <v>0</v>
      </c>
      <c r="L54" s="10">
        <f t="shared" si="12"/>
        <v>0</v>
      </c>
      <c r="M54" s="23">
        <f t="shared" si="4"/>
        <v>211.18</v>
      </c>
      <c r="N54" s="35">
        <f t="shared" si="5"/>
        <v>34358.048999999999</v>
      </c>
      <c r="AV54" s="10" t="s">
        <v>89</v>
      </c>
      <c r="AW54" s="68">
        <v>0.95</v>
      </c>
    </row>
    <row r="55" spans="1:61" x14ac:dyDescent="0.25">
      <c r="A55" s="3">
        <f t="shared" si="2"/>
        <v>2015</v>
      </c>
      <c r="B55">
        <v>3</v>
      </c>
      <c r="C55">
        <v>79404.042794982844</v>
      </c>
      <c r="D55">
        <v>216.47</v>
      </c>
      <c r="E55" s="7">
        <v>34743.084000000003</v>
      </c>
      <c r="G55" s="25">
        <f t="shared" si="11"/>
        <v>79404.042794982844</v>
      </c>
      <c r="H55" s="34">
        <v>1</v>
      </c>
      <c r="I55" s="28">
        <v>43</v>
      </c>
      <c r="J55" s="10">
        <f t="shared" si="12"/>
        <v>0</v>
      </c>
      <c r="K55" s="10">
        <f t="shared" si="12"/>
        <v>1</v>
      </c>
      <c r="L55" s="10">
        <f t="shared" si="12"/>
        <v>0</v>
      </c>
      <c r="M55" s="23">
        <f t="shared" si="4"/>
        <v>216.47</v>
      </c>
      <c r="N55" s="35">
        <f t="shared" si="5"/>
        <v>34743.084000000003</v>
      </c>
      <c r="AV55" s="10" t="s">
        <v>91</v>
      </c>
      <c r="AW55" s="10">
        <f>1-AW54</f>
        <v>5.0000000000000044E-2</v>
      </c>
      <c r="BE55" s="10" t="s">
        <v>115</v>
      </c>
      <c r="BF55" s="11">
        <f>AS46</f>
        <v>141.30012337912922</v>
      </c>
      <c r="BG55" s="11">
        <f>Q29</f>
        <v>0</v>
      </c>
      <c r="BH55" s="75" t="s">
        <v>122</v>
      </c>
    </row>
    <row r="56" spans="1:61" x14ac:dyDescent="0.25">
      <c r="A56" s="3">
        <f t="shared" si="2"/>
        <v>2015</v>
      </c>
      <c r="B56">
        <v>4</v>
      </c>
      <c r="C56">
        <v>76732.304621634787</v>
      </c>
      <c r="D56">
        <v>221.43</v>
      </c>
      <c r="E56" s="7">
        <v>35209.042999999998</v>
      </c>
      <c r="G56" s="25">
        <f t="shared" si="11"/>
        <v>76732.304621634787</v>
      </c>
      <c r="H56" s="34">
        <v>1</v>
      </c>
      <c r="I56" s="28">
        <v>44</v>
      </c>
      <c r="J56" s="10">
        <f t="shared" si="12"/>
        <v>0</v>
      </c>
      <c r="K56" s="10">
        <f t="shared" si="12"/>
        <v>0</v>
      </c>
      <c r="L56" s="10">
        <f t="shared" si="12"/>
        <v>1</v>
      </c>
      <c r="M56" s="23">
        <f t="shared" si="4"/>
        <v>221.43</v>
      </c>
      <c r="N56" s="35">
        <f t="shared" si="5"/>
        <v>35209.042999999998</v>
      </c>
      <c r="BE56" s="28" t="s">
        <v>116</v>
      </c>
      <c r="BF56" s="25">
        <f>AV46</f>
        <v>1.3940454535262827E-3</v>
      </c>
      <c r="BG56" s="25">
        <f>S50</f>
        <v>0.02</v>
      </c>
      <c r="BH56" s="28" t="s">
        <v>120</v>
      </c>
    </row>
    <row r="57" spans="1:61" ht="15.75" thickBot="1" x14ac:dyDescent="0.3">
      <c r="A57" s="3">
        <f t="shared" si="2"/>
        <v>2016</v>
      </c>
      <c r="B57">
        <v>1</v>
      </c>
      <c r="C57">
        <v>69971.644534158913</v>
      </c>
      <c r="D57">
        <v>224.36</v>
      </c>
      <c r="E57" s="7">
        <v>35301.635999999999</v>
      </c>
      <c r="G57" s="25">
        <f t="shared" si="11"/>
        <v>69971.644534158913</v>
      </c>
      <c r="H57" s="34">
        <v>1</v>
      </c>
      <c r="I57" s="28">
        <v>45</v>
      </c>
      <c r="J57" s="10">
        <f t="shared" si="12"/>
        <v>0</v>
      </c>
      <c r="K57" s="10">
        <f t="shared" si="12"/>
        <v>0</v>
      </c>
      <c r="L57" s="10">
        <f t="shared" si="12"/>
        <v>0</v>
      </c>
      <c r="M57" s="23">
        <f t="shared" si="4"/>
        <v>224.36</v>
      </c>
      <c r="N57" s="35">
        <f t="shared" si="5"/>
        <v>35301.635999999999</v>
      </c>
      <c r="AV57" s="28" t="s">
        <v>92</v>
      </c>
      <c r="AW57" s="10">
        <f>_xlfn.T.INV.2T(AW55,AD8)</f>
        <v>1.9977296543176919</v>
      </c>
      <c r="AX57" s="10" t="s">
        <v>104</v>
      </c>
      <c r="BE57" s="28" t="s">
        <v>117</v>
      </c>
      <c r="BF57" s="26">
        <f>AD8</f>
        <v>64</v>
      </c>
      <c r="BG57" s="26">
        <f>T8</f>
        <v>4</v>
      </c>
      <c r="BH57" s="75" t="s">
        <v>121</v>
      </c>
    </row>
    <row r="58" spans="1:61" x14ac:dyDescent="0.25">
      <c r="A58" s="3">
        <f t="shared" si="2"/>
        <v>2016</v>
      </c>
      <c r="B58">
        <v>2</v>
      </c>
      <c r="C58">
        <v>79728.530367219006</v>
      </c>
      <c r="D58">
        <v>226.66</v>
      </c>
      <c r="E58" s="7">
        <v>35750.296000000002</v>
      </c>
      <c r="G58" s="25">
        <f t="shared" si="11"/>
        <v>79728.530367219006</v>
      </c>
      <c r="H58" s="34">
        <v>1</v>
      </c>
      <c r="I58" s="28">
        <v>46</v>
      </c>
      <c r="J58" s="10">
        <f t="shared" si="12"/>
        <v>1</v>
      </c>
      <c r="K58" s="10">
        <f t="shared" si="12"/>
        <v>0</v>
      </c>
      <c r="L58" s="10">
        <f t="shared" si="12"/>
        <v>0</v>
      </c>
      <c r="M58" s="23">
        <f t="shared" si="4"/>
        <v>226.66</v>
      </c>
      <c r="N58" s="35">
        <f t="shared" si="5"/>
        <v>35750.296000000002</v>
      </c>
      <c r="AX58" s="10" t="s">
        <v>105</v>
      </c>
    </row>
    <row r="59" spans="1:61" x14ac:dyDescent="0.25">
      <c r="A59" s="3">
        <f t="shared" si="2"/>
        <v>2016</v>
      </c>
      <c r="B59">
        <v>3</v>
      </c>
      <c r="C59">
        <v>81927.609626932521</v>
      </c>
      <c r="D59">
        <v>226.66</v>
      </c>
      <c r="E59" s="7">
        <v>36289.436000000002</v>
      </c>
      <c r="G59" s="25">
        <f t="shared" si="11"/>
        <v>81927.609626932521</v>
      </c>
      <c r="H59" s="34">
        <v>1</v>
      </c>
      <c r="I59" s="28">
        <v>47</v>
      </c>
      <c r="J59" s="10">
        <f t="shared" si="12"/>
        <v>0</v>
      </c>
      <c r="K59" s="10">
        <f t="shared" si="12"/>
        <v>1</v>
      </c>
      <c r="L59" s="10">
        <f t="shared" si="12"/>
        <v>0</v>
      </c>
      <c r="M59" s="23">
        <f t="shared" si="4"/>
        <v>226.66</v>
      </c>
      <c r="N59" s="35">
        <f t="shared" si="5"/>
        <v>36289.436000000002</v>
      </c>
      <c r="BE59" s="10" t="s">
        <v>106</v>
      </c>
    </row>
    <row r="60" spans="1:61" x14ac:dyDescent="0.25">
      <c r="A60" s="3">
        <f t="shared" si="2"/>
        <v>2016</v>
      </c>
      <c r="B60">
        <v>4</v>
      </c>
      <c r="C60">
        <v>79754.655689456267</v>
      </c>
      <c r="D60">
        <v>234.43</v>
      </c>
      <c r="E60" s="7">
        <v>36874.489000000001</v>
      </c>
      <c r="G60" s="25">
        <f t="shared" si="11"/>
        <v>79754.655689456267</v>
      </c>
      <c r="H60" s="34">
        <v>1</v>
      </c>
      <c r="I60" s="28">
        <v>48</v>
      </c>
      <c r="J60" s="10">
        <f t="shared" si="12"/>
        <v>0</v>
      </c>
      <c r="K60" s="10">
        <f t="shared" si="12"/>
        <v>0</v>
      </c>
      <c r="L60" s="10">
        <f t="shared" si="12"/>
        <v>1</v>
      </c>
      <c r="M60" s="23">
        <f t="shared" si="4"/>
        <v>234.43</v>
      </c>
      <c r="N60" s="35">
        <f t="shared" si="5"/>
        <v>36874.489000000001</v>
      </c>
      <c r="BE60" s="10" t="s">
        <v>29</v>
      </c>
      <c r="BF60" s="10" t="s">
        <v>109</v>
      </c>
      <c r="BG60" s="10" t="s">
        <v>119</v>
      </c>
      <c r="BI60"/>
    </row>
    <row r="61" spans="1:61" x14ac:dyDescent="0.25">
      <c r="A61" s="3">
        <f t="shared" si="2"/>
        <v>2017</v>
      </c>
      <c r="B61">
        <v>1</v>
      </c>
      <c r="C61">
        <v>73279.566121051263</v>
      </c>
      <c r="D61">
        <v>237.51</v>
      </c>
      <c r="E61" s="7">
        <v>37736.849000000002</v>
      </c>
      <c r="G61" s="25">
        <f t="shared" si="11"/>
        <v>73279.566121051263</v>
      </c>
      <c r="H61" s="34">
        <v>1</v>
      </c>
      <c r="I61" s="28">
        <v>49</v>
      </c>
      <c r="J61" s="10">
        <f t="shared" si="12"/>
        <v>0</v>
      </c>
      <c r="K61" s="10">
        <f t="shared" si="12"/>
        <v>0</v>
      </c>
      <c r="L61" s="10">
        <f t="shared" si="12"/>
        <v>0</v>
      </c>
      <c r="M61" s="23">
        <f t="shared" si="4"/>
        <v>237.51</v>
      </c>
      <c r="N61" s="35">
        <f t="shared" si="5"/>
        <v>37736.849000000002</v>
      </c>
      <c r="BD61" s="10" t="s">
        <v>107</v>
      </c>
      <c r="BE61" s="10">
        <f>BF42</f>
        <v>30</v>
      </c>
      <c r="BF61" s="10">
        <f>_xlfn.GAMMA(($BF$57+1)/2)*SQRT($BF$56)/(_xlfn.GAMMA($BF$57/2)*SQRT($BF$57*PI()))*(1+$BF$56*(BE61-$BF$55)^2/$BF$57)^(-($BF$57+1)/2)</f>
        <v>6.3042636941029651E-6</v>
      </c>
      <c r="BG61" s="10">
        <f>_xlfn.GAMMA(($BG$57+1)/2)*SQRT($BG$56)/(_xlfn.GAMMA($BG$57/2)*SQRT($BG$57*PI()))*(1+$BG$56*(BE61-$BG$55)^2/$BG$57)^(-($BG$57+1)/2)</f>
        <v>7.4754878820933136E-4</v>
      </c>
    </row>
    <row r="62" spans="1:61" x14ac:dyDescent="0.25">
      <c r="A62" s="3">
        <f t="shared" si="2"/>
        <v>2017</v>
      </c>
      <c r="B62">
        <v>2</v>
      </c>
      <c r="C62">
        <v>82862.916310778281</v>
      </c>
      <c r="D62">
        <v>235.28</v>
      </c>
      <c r="E62" s="7">
        <v>37937.381999999998</v>
      </c>
      <c r="G62" s="25">
        <f t="shared" si="11"/>
        <v>82862.916310778281</v>
      </c>
      <c r="H62" s="34">
        <v>1</v>
      </c>
      <c r="I62" s="28">
        <v>50</v>
      </c>
      <c r="J62" s="10">
        <f t="shared" si="12"/>
        <v>1</v>
      </c>
      <c r="K62" s="10">
        <f t="shared" si="12"/>
        <v>0</v>
      </c>
      <c r="L62" s="10">
        <f t="shared" si="12"/>
        <v>0</v>
      </c>
      <c r="M62" s="23">
        <f t="shared" si="4"/>
        <v>235.28</v>
      </c>
      <c r="N62" s="35">
        <f t="shared" si="5"/>
        <v>37937.381999999998</v>
      </c>
      <c r="BE62" s="10">
        <f>BE61+$BF$50</f>
        <v>32.25</v>
      </c>
      <c r="BF62" s="10">
        <f t="shared" ref="BF62:BF125" si="14">_xlfn.GAMMA(($BF$57+1)/2)*SQRT($BF$56)/(_xlfn.GAMMA($BF$57/2)*SQRT($BF$57*PI()))*(1+$BF$56*(BE62-$BF$55)^2/$BF$57)^(-($BF$57+1)/2)</f>
        <v>8.3211781390732409E-6</v>
      </c>
      <c r="BG62" s="10">
        <f t="shared" ref="BG62:BG125" si="15">_xlfn.GAMMA(($BG$57+1)/2)*SQRT($BG$56)/(_xlfn.GAMMA($BG$57/2)*SQRT($BG$57*PI()))*(1+$BG$56*(BE62-$BG$55)^2/$BG$57)^(-($BG$57+1)/2)</f>
        <v>5.540032577924848E-4</v>
      </c>
    </row>
    <row r="63" spans="1:61" x14ac:dyDescent="0.25">
      <c r="A63" s="3">
        <f t="shared" si="2"/>
        <v>2017</v>
      </c>
      <c r="B63">
        <v>3</v>
      </c>
      <c r="C63">
        <v>84895.489913365935</v>
      </c>
      <c r="D63">
        <v>233.26</v>
      </c>
      <c r="E63" s="7">
        <v>38513.266000000003</v>
      </c>
      <c r="G63" s="25">
        <f t="shared" si="11"/>
        <v>84895.489913365935</v>
      </c>
      <c r="H63" s="34">
        <v>1</v>
      </c>
      <c r="I63" s="28">
        <v>51</v>
      </c>
      <c r="J63" s="10">
        <f t="shared" si="12"/>
        <v>0</v>
      </c>
      <c r="K63" s="10">
        <f t="shared" si="12"/>
        <v>1</v>
      </c>
      <c r="L63" s="10">
        <f t="shared" si="12"/>
        <v>0</v>
      </c>
      <c r="M63" s="23">
        <f t="shared" si="4"/>
        <v>233.26</v>
      </c>
      <c r="N63" s="35">
        <f t="shared" si="5"/>
        <v>38513.266000000003</v>
      </c>
      <c r="BE63" s="10">
        <f t="shared" ref="BE63:BE126" si="16">BE62+$BF$50</f>
        <v>34.5</v>
      </c>
      <c r="BF63" s="10">
        <f t="shared" si="14"/>
        <v>1.0946622687944162E-5</v>
      </c>
      <c r="BG63" s="10">
        <f t="shared" si="15"/>
        <v>4.1628330638768387E-4</v>
      </c>
    </row>
    <row r="64" spans="1:61" x14ac:dyDescent="0.25">
      <c r="A64" s="3">
        <f t="shared" si="2"/>
        <v>2017</v>
      </c>
      <c r="B64">
        <v>4</v>
      </c>
      <c r="C64">
        <v>83085.705236209993</v>
      </c>
      <c r="D64">
        <v>232.3</v>
      </c>
      <c r="E64" s="7">
        <v>39095.879999999997</v>
      </c>
      <c r="G64" s="25">
        <f t="shared" si="11"/>
        <v>83085.705236209993</v>
      </c>
      <c r="H64" s="34">
        <v>1</v>
      </c>
      <c r="I64" s="28">
        <v>52</v>
      </c>
      <c r="J64" s="10">
        <f t="shared" si="12"/>
        <v>0</v>
      </c>
      <c r="K64" s="10">
        <f t="shared" si="12"/>
        <v>0</v>
      </c>
      <c r="L64" s="10">
        <f t="shared" si="12"/>
        <v>1</v>
      </c>
      <c r="M64" s="23">
        <f t="shared" si="4"/>
        <v>232.3</v>
      </c>
      <c r="N64" s="35">
        <f t="shared" si="5"/>
        <v>39095.879999999997</v>
      </c>
      <c r="BE64" s="10">
        <f t="shared" si="16"/>
        <v>36.75</v>
      </c>
      <c r="BF64" s="10">
        <f t="shared" si="14"/>
        <v>1.4350745765851889E-5</v>
      </c>
      <c r="BG64" s="10">
        <f t="shared" si="15"/>
        <v>3.1688235982390038E-4</v>
      </c>
    </row>
    <row r="65" spans="1:59" x14ac:dyDescent="0.25">
      <c r="A65" s="3">
        <f t="shared" si="2"/>
        <v>2018</v>
      </c>
      <c r="B65">
        <v>1</v>
      </c>
      <c r="C65">
        <v>76223.564862550003</v>
      </c>
      <c r="D65">
        <v>232</v>
      </c>
      <c r="E65" s="7">
        <v>39590.843999999997</v>
      </c>
      <c r="G65" s="25">
        <f t="shared" si="11"/>
        <v>76223.564862550003</v>
      </c>
      <c r="H65" s="34">
        <v>1</v>
      </c>
      <c r="I65" s="28">
        <v>53</v>
      </c>
      <c r="J65" s="10">
        <f t="shared" si="12"/>
        <v>0</v>
      </c>
      <c r="K65" s="10">
        <f t="shared" si="12"/>
        <v>0</v>
      </c>
      <c r="L65" s="10">
        <f t="shared" si="12"/>
        <v>0</v>
      </c>
      <c r="M65" s="23">
        <f t="shared" si="4"/>
        <v>232</v>
      </c>
      <c r="N65" s="35">
        <f t="shared" si="5"/>
        <v>39590.843999999997</v>
      </c>
      <c r="BE65" s="10">
        <f t="shared" si="16"/>
        <v>39</v>
      </c>
      <c r="BF65" s="10">
        <f t="shared" si="14"/>
        <v>1.8746557706442863E-5</v>
      </c>
      <c r="BG65" s="10">
        <f t="shared" si="15"/>
        <v>2.4415694313193815E-4</v>
      </c>
    </row>
    <row r="66" spans="1:59" x14ac:dyDescent="0.25">
      <c r="A66" s="3">
        <f t="shared" si="2"/>
        <v>2018</v>
      </c>
      <c r="B66">
        <v>2</v>
      </c>
      <c r="C66">
        <v>84848.905851589996</v>
      </c>
      <c r="D66">
        <v>232.97</v>
      </c>
      <c r="E66" s="7">
        <v>40248.815999999999</v>
      </c>
      <c r="G66" s="25">
        <f t="shared" si="11"/>
        <v>84848.905851589996</v>
      </c>
      <c r="H66" s="34">
        <v>1</v>
      </c>
      <c r="I66" s="28">
        <v>54</v>
      </c>
      <c r="J66" s="10">
        <f t="shared" si="12"/>
        <v>1</v>
      </c>
      <c r="K66" s="10">
        <f t="shared" si="12"/>
        <v>0</v>
      </c>
      <c r="L66" s="10">
        <f t="shared" si="12"/>
        <v>0</v>
      </c>
      <c r="M66" s="23">
        <f t="shared" si="4"/>
        <v>232.97</v>
      </c>
      <c r="N66" s="35">
        <f t="shared" si="5"/>
        <v>40248.815999999999</v>
      </c>
      <c r="BE66" s="10">
        <f t="shared" si="16"/>
        <v>41.25</v>
      </c>
      <c r="BF66" s="10">
        <f t="shared" si="14"/>
        <v>2.4399153483266879E-5</v>
      </c>
      <c r="BG66" s="10">
        <f t="shared" si="15"/>
        <v>1.9025879599864911E-4</v>
      </c>
    </row>
    <row r="67" spans="1:59" x14ac:dyDescent="0.25">
      <c r="A67" s="3">
        <f t="shared" si="2"/>
        <v>2018</v>
      </c>
      <c r="B67">
        <v>3</v>
      </c>
      <c r="C67">
        <v>86796.947939899997</v>
      </c>
      <c r="D67">
        <v>229.81</v>
      </c>
      <c r="E67" s="7">
        <v>40420.303</v>
      </c>
      <c r="G67" s="25">
        <f t="shared" si="11"/>
        <v>86796.947939899997</v>
      </c>
      <c r="H67" s="34">
        <v>1</v>
      </c>
      <c r="I67" s="28">
        <v>55</v>
      </c>
      <c r="J67" s="10">
        <f t="shared" si="12"/>
        <v>0</v>
      </c>
      <c r="K67" s="10">
        <f t="shared" si="12"/>
        <v>1</v>
      </c>
      <c r="L67" s="10">
        <f t="shared" si="12"/>
        <v>0</v>
      </c>
      <c r="M67" s="23">
        <f t="shared" si="4"/>
        <v>229.81</v>
      </c>
      <c r="N67" s="35">
        <f t="shared" si="5"/>
        <v>40420.303</v>
      </c>
      <c r="BE67" s="10">
        <f t="shared" si="16"/>
        <v>43.5</v>
      </c>
      <c r="BF67" s="10">
        <f t="shared" si="14"/>
        <v>3.1636416577329239E-5</v>
      </c>
      <c r="BG67" s="10">
        <f t="shared" si="15"/>
        <v>1.4982604428117138E-4</v>
      </c>
    </row>
    <row r="68" spans="1:59" x14ac:dyDescent="0.25">
      <c r="A68" s="3">
        <f t="shared" si="2"/>
        <v>2018</v>
      </c>
      <c r="B68">
        <v>4</v>
      </c>
      <c r="C68">
        <v>85151.78049491001</v>
      </c>
      <c r="D68">
        <v>228.79</v>
      </c>
      <c r="E68" s="7">
        <v>41237.32</v>
      </c>
      <c r="G68" s="25">
        <f t="shared" si="11"/>
        <v>85151.78049491001</v>
      </c>
      <c r="H68" s="34">
        <v>1</v>
      </c>
      <c r="I68" s="28">
        <v>56</v>
      </c>
      <c r="J68" s="10">
        <f t="shared" si="12"/>
        <v>0</v>
      </c>
      <c r="K68" s="10">
        <f t="shared" si="12"/>
        <v>0</v>
      </c>
      <c r="L68" s="10">
        <f t="shared" si="12"/>
        <v>1</v>
      </c>
      <c r="M68" s="23">
        <f t="shared" si="4"/>
        <v>228.79</v>
      </c>
      <c r="N68" s="35">
        <f t="shared" si="5"/>
        <v>41237.32</v>
      </c>
      <c r="BE68" s="10">
        <f t="shared" si="16"/>
        <v>45.75</v>
      </c>
      <c r="BF68" s="10">
        <f t="shared" si="14"/>
        <v>4.0861283708072647E-5</v>
      </c>
      <c r="BG68" s="10">
        <f t="shared" si="15"/>
        <v>1.191465645589591E-4</v>
      </c>
    </row>
    <row r="69" spans="1:59" x14ac:dyDescent="0.25">
      <c r="A69">
        <v>2019</v>
      </c>
      <c r="B69">
        <v>1</v>
      </c>
      <c r="C69">
        <v>77629.538573030004</v>
      </c>
      <c r="D69">
        <v>226.65</v>
      </c>
      <c r="E69" s="7">
        <v>41729.148000000001</v>
      </c>
      <c r="G69" s="25">
        <f t="shared" si="11"/>
        <v>77629.538573030004</v>
      </c>
      <c r="H69" s="34">
        <v>1</v>
      </c>
      <c r="I69" s="28">
        <v>57</v>
      </c>
      <c r="J69" s="10">
        <f t="shared" si="12"/>
        <v>0</v>
      </c>
      <c r="K69" s="10">
        <f t="shared" si="12"/>
        <v>0</v>
      </c>
      <c r="L69" s="10">
        <f t="shared" si="12"/>
        <v>0</v>
      </c>
      <c r="M69" s="23">
        <f t="shared" si="4"/>
        <v>226.65</v>
      </c>
      <c r="N69" s="35">
        <f t="shared" si="5"/>
        <v>41729.148000000001</v>
      </c>
      <c r="BE69" s="10">
        <f t="shared" si="16"/>
        <v>48</v>
      </c>
      <c r="BF69" s="10">
        <f t="shared" si="14"/>
        <v>5.2565598784129135E-5</v>
      </c>
      <c r="BG69" s="10">
        <f t="shared" si="15"/>
        <v>9.5617072625185274E-5</v>
      </c>
    </row>
    <row r="70" spans="1:59" x14ac:dyDescent="0.25">
      <c r="A70">
        <v>2019</v>
      </c>
      <c r="B70">
        <v>2</v>
      </c>
      <c r="C70">
        <v>87338.967535689997</v>
      </c>
      <c r="D70">
        <v>227.9</v>
      </c>
      <c r="E70" s="7">
        <v>42174.675000000003</v>
      </c>
      <c r="G70" s="25">
        <f t="shared" si="11"/>
        <v>87338.967535689997</v>
      </c>
      <c r="H70" s="34">
        <v>1</v>
      </c>
      <c r="I70" s="28">
        <v>58</v>
      </c>
      <c r="J70" s="10">
        <f t="shared" si="12"/>
        <v>1</v>
      </c>
      <c r="K70" s="10">
        <f t="shared" si="12"/>
        <v>0</v>
      </c>
      <c r="L70" s="10">
        <f t="shared" si="12"/>
        <v>0</v>
      </c>
      <c r="M70" s="23">
        <f t="shared" si="4"/>
        <v>227.9</v>
      </c>
      <c r="N70" s="35">
        <f t="shared" si="5"/>
        <v>42174.675000000003</v>
      </c>
      <c r="BE70" s="10">
        <f t="shared" si="16"/>
        <v>50.25</v>
      </c>
      <c r="BF70" s="10">
        <f t="shared" si="14"/>
        <v>6.7345511458214471E-5</v>
      </c>
      <c r="BG70" s="10">
        <f t="shared" si="15"/>
        <v>7.7389151716672917E-5</v>
      </c>
    </row>
    <row r="71" spans="1:59" x14ac:dyDescent="0.25">
      <c r="A71">
        <v>2019</v>
      </c>
      <c r="B71">
        <v>3</v>
      </c>
      <c r="C71">
        <v>89457.211009710009</v>
      </c>
      <c r="D71">
        <v>225.75</v>
      </c>
      <c r="E71" s="7">
        <v>42237.803</v>
      </c>
      <c r="G71" s="25">
        <f t="shared" si="11"/>
        <v>89457.211009710009</v>
      </c>
      <c r="H71" s="34">
        <v>1</v>
      </c>
      <c r="I71" s="28">
        <v>59</v>
      </c>
      <c r="J71" s="10">
        <f t="shared" si="12"/>
        <v>0</v>
      </c>
      <c r="K71" s="10">
        <f t="shared" si="12"/>
        <v>1</v>
      </c>
      <c r="L71" s="10">
        <f t="shared" si="12"/>
        <v>0</v>
      </c>
      <c r="M71" s="23">
        <f t="shared" si="4"/>
        <v>225.75</v>
      </c>
      <c r="N71" s="35">
        <f t="shared" si="5"/>
        <v>42237.803</v>
      </c>
      <c r="BE71" s="10">
        <f t="shared" si="16"/>
        <v>52.5</v>
      </c>
      <c r="BF71" s="10">
        <f t="shared" si="14"/>
        <v>8.5918277679739906E-5</v>
      </c>
      <c r="BG71" s="10">
        <f t="shared" si="15"/>
        <v>6.3134734651559322E-5</v>
      </c>
    </row>
    <row r="72" spans="1:59" ht="15.75" thickBot="1" x14ac:dyDescent="0.3">
      <c r="A72">
        <v>2019</v>
      </c>
      <c r="B72">
        <v>4</v>
      </c>
      <c r="C72">
        <v>87958.106180839997</v>
      </c>
      <c r="D72">
        <v>227.04</v>
      </c>
      <c r="E72" s="7">
        <v>42989.875999999997</v>
      </c>
      <c r="G72" s="26">
        <f t="shared" si="11"/>
        <v>87958.106180839997</v>
      </c>
      <c r="H72" s="36">
        <v>1</v>
      </c>
      <c r="I72" s="37">
        <v>60</v>
      </c>
      <c r="J72" s="38">
        <f t="shared" si="12"/>
        <v>0</v>
      </c>
      <c r="K72" s="38">
        <f t="shared" si="12"/>
        <v>0</v>
      </c>
      <c r="L72" s="38">
        <f t="shared" si="12"/>
        <v>1</v>
      </c>
      <c r="M72" s="39">
        <f t="shared" si="4"/>
        <v>227.04</v>
      </c>
      <c r="N72" s="40">
        <f t="shared" si="5"/>
        <v>42989.875999999997</v>
      </c>
      <c r="BE72" s="10">
        <f t="shared" si="16"/>
        <v>54.75</v>
      </c>
      <c r="BF72" s="10">
        <f t="shared" si="14"/>
        <v>1.0914019381934016E-4</v>
      </c>
      <c r="BG72" s="10">
        <f t="shared" si="15"/>
        <v>5.1888802692133155E-5</v>
      </c>
    </row>
    <row r="73" spans="1:59" x14ac:dyDescent="0.25">
      <c r="G73"/>
      <c r="H73"/>
      <c r="I73"/>
      <c r="J73"/>
      <c r="K73" s="7"/>
      <c r="BE73" s="10">
        <f t="shared" si="16"/>
        <v>57</v>
      </c>
      <c r="BF73" s="10">
        <f t="shared" si="14"/>
        <v>1.3802524058789751E-4</v>
      </c>
      <c r="BG73" s="10">
        <f t="shared" si="15"/>
        <v>4.2942593388763259E-5</v>
      </c>
    </row>
    <row r="74" spans="1:59" x14ac:dyDescent="0.25">
      <c r="G74"/>
      <c r="H74"/>
      <c r="I74"/>
      <c r="J74"/>
      <c r="K74" s="7"/>
      <c r="BE74" s="10">
        <f t="shared" si="16"/>
        <v>59.25</v>
      </c>
      <c r="BF74" s="10">
        <f t="shared" si="14"/>
        <v>1.737638280870912E-4</v>
      </c>
      <c r="BG74" s="10">
        <f t="shared" si="15"/>
        <v>3.5770241875378922E-5</v>
      </c>
    </row>
    <row r="75" spans="1:59" x14ac:dyDescent="0.25">
      <c r="G75"/>
      <c r="H75"/>
      <c r="I75"/>
      <c r="J75"/>
      <c r="K75" s="7"/>
      <c r="BE75" s="10">
        <f t="shared" si="16"/>
        <v>61.5</v>
      </c>
      <c r="BF75" s="10">
        <f t="shared" si="14"/>
        <v>2.1774082127985872E-4</v>
      </c>
      <c r="BG75" s="10">
        <f t="shared" si="15"/>
        <v>2.9977813428399376E-5</v>
      </c>
    </row>
    <row r="76" spans="1:59" x14ac:dyDescent="0.25">
      <c r="G76"/>
      <c r="H76"/>
      <c r="I76"/>
      <c r="J76"/>
      <c r="K76" s="7"/>
      <c r="BE76" s="10">
        <f t="shared" si="16"/>
        <v>63.75</v>
      </c>
      <c r="BF76" s="10">
        <f t="shared" si="14"/>
        <v>2.715517914034897E-4</v>
      </c>
      <c r="BG76" s="10">
        <f t="shared" si="15"/>
        <v>2.526750442939291E-5</v>
      </c>
    </row>
    <row r="77" spans="1:59" x14ac:dyDescent="0.25">
      <c r="G77"/>
      <c r="H77"/>
      <c r="I77"/>
      <c r="J77"/>
      <c r="K77" s="7"/>
      <c r="BE77" s="10">
        <f t="shared" si="16"/>
        <v>66</v>
      </c>
      <c r="BF77" s="10">
        <f t="shared" si="14"/>
        <v>3.3701619255713526E-4</v>
      </c>
      <c r="BG77" s="10">
        <f t="shared" si="15"/>
        <v>2.1412233277725317E-5</v>
      </c>
    </row>
    <row r="78" spans="1:59" x14ac:dyDescent="0.25">
      <c r="G78"/>
      <c r="H78"/>
      <c r="I78"/>
      <c r="J78"/>
      <c r="K78" s="7"/>
      <c r="BE78" s="10">
        <f t="shared" si="16"/>
        <v>68.25</v>
      </c>
      <c r="BF78" s="10">
        <f t="shared" si="14"/>
        <v>4.161859173689362E-4</v>
      </c>
      <c r="BG78" s="10">
        <f t="shared" si="15"/>
        <v>1.8237424635866683E-5</v>
      </c>
    </row>
    <row r="79" spans="1:59" x14ac:dyDescent="0.25">
      <c r="G79"/>
      <c r="H79"/>
      <c r="I79"/>
      <c r="J79"/>
      <c r="K79" s="7"/>
      <c r="BE79" s="10">
        <f t="shared" si="16"/>
        <v>70.5</v>
      </c>
      <c r="BF79" s="10">
        <f t="shared" si="14"/>
        <v>5.1134745939974253E-4</v>
      </c>
      <c r="BG79" s="10">
        <f t="shared" si="15"/>
        <v>1.560782534286524E-5</v>
      </c>
    </row>
    <row r="80" spans="1:59" x14ac:dyDescent="0.25">
      <c r="G80"/>
      <c r="H80"/>
      <c r="I80"/>
      <c r="J80"/>
      <c r="K80" s="7"/>
      <c r="BE80" s="10">
        <f t="shared" si="16"/>
        <v>72.75</v>
      </c>
      <c r="BF80" s="10">
        <f t="shared" si="14"/>
        <v>6.2501572548638172E-4</v>
      </c>
      <c r="BG80" s="10">
        <f t="shared" si="15"/>
        <v>1.3417874825394735E-5</v>
      </c>
    </row>
    <row r="81" spans="7:59" x14ac:dyDescent="0.25">
      <c r="G81"/>
      <c r="H81"/>
      <c r="I81"/>
      <c r="J81"/>
      <c r="K81" s="7"/>
      <c r="BE81" s="10">
        <f t="shared" si="16"/>
        <v>75</v>
      </c>
      <c r="BF81" s="10">
        <f t="shared" si="14"/>
        <v>7.5991742538985077E-4</v>
      </c>
      <c r="BG81" s="10">
        <f t="shared" si="15"/>
        <v>1.1584610340901486E-5</v>
      </c>
    </row>
    <row r="82" spans="7:59" x14ac:dyDescent="0.25">
      <c r="G82"/>
      <c r="H82"/>
      <c r="I82"/>
      <c r="J82"/>
      <c r="K82" s="7"/>
      <c r="BE82" s="10">
        <f t="shared" si="16"/>
        <v>77.25</v>
      </c>
      <c r="BF82" s="10">
        <f t="shared" si="14"/>
        <v>9.1896194873168397E-4</v>
      </c>
      <c r="BG82" s="10">
        <f t="shared" si="15"/>
        <v>1.0042396322393691E-5</v>
      </c>
    </row>
    <row r="83" spans="7:59" x14ac:dyDescent="0.25">
      <c r="G83"/>
      <c r="H83"/>
      <c r="I83"/>
      <c r="J83"/>
      <c r="K83" s="7"/>
      <c r="BE83" s="10">
        <f t="shared" si="16"/>
        <v>79.5</v>
      </c>
      <c r="BF83" s="10">
        <f t="shared" si="14"/>
        <v>1.1051977513651164E-3</v>
      </c>
      <c r="BG83" s="10">
        <f t="shared" si="15"/>
        <v>8.7389777820247602E-6</v>
      </c>
    </row>
    <row r="84" spans="7:59" x14ac:dyDescent="0.25">
      <c r="G84"/>
      <c r="H84"/>
      <c r="I84"/>
      <c r="J84"/>
      <c r="K84" s="7"/>
      <c r="BE84" s="10">
        <f t="shared" si="16"/>
        <v>81.75</v>
      </c>
      <c r="BF84" s="10">
        <f t="shared" si="14"/>
        <v>1.3217525448961727E-3</v>
      </c>
      <c r="BG84" s="10">
        <f t="shared" si="15"/>
        <v>7.632502795263519E-6</v>
      </c>
    </row>
    <row r="85" spans="7:59" x14ac:dyDescent="0.25">
      <c r="BE85" s="10">
        <f t="shared" si="16"/>
        <v>84</v>
      </c>
      <c r="BF85" s="10">
        <f t="shared" si="14"/>
        <v>1.5717560395192044E-3</v>
      </c>
      <c r="BG85" s="10">
        <f t="shared" si="15"/>
        <v>6.6892598926645188E-6</v>
      </c>
    </row>
    <row r="86" spans="7:59" x14ac:dyDescent="0.25">
      <c r="BE86" s="10">
        <f t="shared" si="16"/>
        <v>86.25</v>
      </c>
      <c r="BF86" s="10">
        <f t="shared" si="14"/>
        <v>1.8582446490652959E-3</v>
      </c>
      <c r="BG86" s="10">
        <f t="shared" si="15"/>
        <v>5.8819468590704911E-6</v>
      </c>
    </row>
    <row r="87" spans="7:59" x14ac:dyDescent="0.25">
      <c r="BE87" s="10">
        <f t="shared" si="16"/>
        <v>88.5</v>
      </c>
      <c r="BF87" s="10">
        <f t="shared" si="14"/>
        <v>2.1840484335353305E-3</v>
      </c>
      <c r="BG87" s="10">
        <f t="shared" si="15"/>
        <v>5.1883374114701552E-6</v>
      </c>
    </row>
    <row r="88" spans="7:59" x14ac:dyDescent="0.25">
      <c r="BE88" s="10">
        <f t="shared" si="16"/>
        <v>90.75</v>
      </c>
      <c r="BF88" s="10">
        <f t="shared" si="14"/>
        <v>2.5516616178100963E-3</v>
      </c>
      <c r="BG88" s="10">
        <f t="shared" si="15"/>
        <v>4.5902478509961008E-6</v>
      </c>
    </row>
    <row r="89" spans="7:59" x14ac:dyDescent="0.25">
      <c r="BE89" s="10">
        <f t="shared" si="16"/>
        <v>93</v>
      </c>
      <c r="BF89" s="10">
        <f t="shared" si="14"/>
        <v>2.9630992558033519E-3</v>
      </c>
      <c r="BG89" s="10">
        <f t="shared" si="15"/>
        <v>4.0727313813683892E-6</v>
      </c>
    </row>
    <row r="90" spans="7:59" x14ac:dyDescent="0.25">
      <c r="BE90" s="10">
        <f t="shared" si="16"/>
        <v>95.25</v>
      </c>
      <c r="BF90" s="10">
        <f t="shared" si="14"/>
        <v>3.4197439555756128E-3</v>
      </c>
      <c r="BG90" s="10">
        <f t="shared" si="15"/>
        <v>3.6234463174682281E-6</v>
      </c>
    </row>
    <row r="91" spans="7:59" x14ac:dyDescent="0.25">
      <c r="BE91" s="10">
        <f t="shared" si="16"/>
        <v>97.5</v>
      </c>
      <c r="BF91" s="10">
        <f t="shared" si="14"/>
        <v>3.9221879691658419E-3</v>
      </c>
      <c r="BG91" s="10">
        <f t="shared" si="15"/>
        <v>3.2321579216638048E-6</v>
      </c>
    </row>
    <row r="92" spans="7:59" x14ac:dyDescent="0.25">
      <c r="BE92" s="10">
        <f t="shared" si="16"/>
        <v>99.75</v>
      </c>
      <c r="BF92" s="10">
        <f t="shared" si="14"/>
        <v>4.4700772867229113E-3</v>
      </c>
      <c r="BG92" s="10">
        <f t="shared" si="15"/>
        <v>2.8903435294806318E-6</v>
      </c>
    </row>
    <row r="93" spans="7:59" x14ac:dyDescent="0.25">
      <c r="BE93" s="10">
        <f t="shared" si="16"/>
        <v>102</v>
      </c>
      <c r="BF93" s="10">
        <f t="shared" si="14"/>
        <v>5.0619655468441497E-3</v>
      </c>
      <c r="BG93" s="10">
        <f t="shared" si="15"/>
        <v>2.5908779629039175E-6</v>
      </c>
    </row>
    <row r="94" spans="7:59" x14ac:dyDescent="0.25">
      <c r="BE94" s="10">
        <f t="shared" si="16"/>
        <v>104.25</v>
      </c>
      <c r="BF94" s="10">
        <f t="shared" si="14"/>
        <v>5.6951864628007618E-3</v>
      </c>
      <c r="BG94" s="10">
        <f t="shared" si="15"/>
        <v>2.3277816886209866E-6</v>
      </c>
    </row>
    <row r="95" spans="7:59" x14ac:dyDescent="0.25">
      <c r="BE95" s="10">
        <f t="shared" si="16"/>
        <v>106.5</v>
      </c>
      <c r="BF95" s="10">
        <f t="shared" si="14"/>
        <v>6.3657539457683968E-3</v>
      </c>
      <c r="BG95" s="10">
        <f t="shared" si="15"/>
        <v>2.0960182656679833E-6</v>
      </c>
    </row>
    <row r="96" spans="7:59" x14ac:dyDescent="0.25">
      <c r="BE96" s="10">
        <f t="shared" si="16"/>
        <v>108.75</v>
      </c>
      <c r="BF96" s="10">
        <f t="shared" si="14"/>
        <v>7.0682990701016381E-3</v>
      </c>
      <c r="BG96" s="10">
        <f t="shared" si="15"/>
        <v>1.8913307052956701E-6</v>
      </c>
    </row>
    <row r="97" spans="57:59" x14ac:dyDescent="0.25">
      <c r="BE97" s="10">
        <f t="shared" si="16"/>
        <v>111</v>
      </c>
      <c r="BF97" s="10">
        <f t="shared" si="14"/>
        <v>7.7960523840033729E-3</v>
      </c>
      <c r="BG97" s="10">
        <f t="shared" si="15"/>
        <v>1.7101086977605755E-6</v>
      </c>
    </row>
    <row r="98" spans="57:59" x14ac:dyDescent="0.25">
      <c r="BE98" s="10">
        <f t="shared" si="16"/>
        <v>113.25</v>
      </c>
      <c r="BF98" s="10">
        <f t="shared" si="14"/>
        <v>8.5408787691980213E-3</v>
      </c>
      <c r="BG98" s="10">
        <f t="shared" si="15"/>
        <v>1.5492804369802938E-6</v>
      </c>
    </row>
    <row r="99" spans="57:59" x14ac:dyDescent="0.25">
      <c r="BE99" s="10">
        <f t="shared" si="16"/>
        <v>115.5</v>
      </c>
      <c r="BF99" s="10">
        <f t="shared" si="14"/>
        <v>9.2933700897395548E-3</v>
      </c>
      <c r="BG99" s="10">
        <f t="shared" si="15"/>
        <v>1.4062241341972658E-6</v>
      </c>
    </row>
    <row r="100" spans="57:59" x14ac:dyDescent="0.25">
      <c r="BE100" s="10">
        <f t="shared" si="16"/>
        <v>117.75</v>
      </c>
      <c r="BF100" s="10">
        <f t="shared" si="14"/>
        <v>1.0042998292155879E-2</v>
      </c>
      <c r="BG100" s="10">
        <f t="shared" si="15"/>
        <v>1.2786953587778035E-6</v>
      </c>
    </row>
    <row r="101" spans="57:59" x14ac:dyDescent="0.25">
      <c r="BE101" s="10">
        <f t="shared" si="16"/>
        <v>120</v>
      </c>
      <c r="BF101" s="10">
        <f t="shared" si="14"/>
        <v>1.0778328534841135E-2</v>
      </c>
      <c r="BG101" s="10">
        <f t="shared" si="15"/>
        <v>1.1647671541598344E-6</v>
      </c>
    </row>
    <row r="102" spans="57:59" x14ac:dyDescent="0.25">
      <c r="BE102" s="10">
        <f t="shared" si="16"/>
        <v>122.25</v>
      </c>
      <c r="BF102" s="10">
        <f t="shared" si="14"/>
        <v>1.1487288499175166E-2</v>
      </c>
      <c r="BG102" s="10">
        <f t="shared" si="15"/>
        <v>1.0627805064464652E-6</v>
      </c>
    </row>
    <row r="103" spans="57:59" x14ac:dyDescent="0.25">
      <c r="BE103" s="10">
        <f t="shared" si="16"/>
        <v>124.5</v>
      </c>
      <c r="BF103" s="10">
        <f t="shared" si="14"/>
        <v>1.2157486482803065E-2</v>
      </c>
      <c r="BG103" s="10">
        <f t="shared" si="15"/>
        <v>9.7130323466863426E-7</v>
      </c>
    </row>
    <row r="104" spans="57:59" x14ac:dyDescent="0.25">
      <c r="BE104" s="10">
        <f t="shared" si="16"/>
        <v>126.75</v>
      </c>
      <c r="BF104" s="10">
        <f t="shared" si="14"/>
        <v>1.2776567446781741E-2</v>
      </c>
      <c r="BG104" s="10">
        <f t="shared" si="15"/>
        <v>8.890957572573005E-7</v>
      </c>
    </row>
    <row r="105" spans="57:59" x14ac:dyDescent="0.25">
      <c r="BE105" s="10">
        <f t="shared" si="16"/>
        <v>129</v>
      </c>
      <c r="BF105" s="10">
        <f t="shared" si="14"/>
        <v>1.3332593148922415E-2</v>
      </c>
      <c r="BG105" s="10">
        <f t="shared" si="15"/>
        <v>8.1508249294052681E-7</v>
      </c>
    </row>
    <row r="106" spans="57:59" x14ac:dyDescent="0.25">
      <c r="BE106" s="10">
        <f t="shared" si="16"/>
        <v>131.25</v>
      </c>
      <c r="BF106" s="10">
        <f t="shared" si="14"/>
        <v>1.3814430104781266E-2</v>
      </c>
      <c r="BG106" s="10">
        <f t="shared" si="15"/>
        <v>7.4832789448518922E-7</v>
      </c>
    </row>
    <row r="107" spans="57:59" x14ac:dyDescent="0.25">
      <c r="BE107" s="10">
        <f t="shared" si="16"/>
        <v>133.5</v>
      </c>
      <c r="BF107" s="10">
        <f t="shared" si="14"/>
        <v>1.4212127602914114E-2</v>
      </c>
      <c r="BG107" s="10">
        <f t="shared" si="15"/>
        <v>6.8801630446857341E-7</v>
      </c>
    </row>
    <row r="108" spans="57:59" x14ac:dyDescent="0.25">
      <c r="BE108" s="10">
        <f t="shared" si="16"/>
        <v>135.75</v>
      </c>
      <c r="BF108" s="10">
        <f t="shared" si="14"/>
        <v>1.4517267534585985E-2</v>
      </c>
      <c r="BG108" s="10">
        <f t="shared" si="15"/>
        <v>6.3343497435803931E-7</v>
      </c>
    </row>
    <row r="109" spans="57:59" x14ac:dyDescent="0.25">
      <c r="BE109" s="10">
        <f t="shared" si="16"/>
        <v>138</v>
      </c>
      <c r="BF109" s="10">
        <f t="shared" si="14"/>
        <v>1.472326847734093E-2</v>
      </c>
      <c r="BG109" s="10">
        <f t="shared" si="15"/>
        <v>5.8395970989491286E-7</v>
      </c>
    </row>
    <row r="110" spans="57:59" x14ac:dyDescent="0.25">
      <c r="BE110" s="10">
        <f t="shared" si="16"/>
        <v>140.25</v>
      </c>
      <c r="BF110" s="10">
        <f t="shared" si="14"/>
        <v>1.4825628305173791E-2</v>
      </c>
      <c r="BG110" s="10">
        <f t="shared" si="15"/>
        <v>5.39042703543941E-7</v>
      </c>
    </row>
    <row r="111" spans="57:59" x14ac:dyDescent="0.25">
      <c r="BE111" s="10">
        <f t="shared" si="16"/>
        <v>142.5</v>
      </c>
      <c r="BF111" s="10">
        <f t="shared" si="14"/>
        <v>1.4822092499723081E-2</v>
      </c>
      <c r="BG111" s="10">
        <f t="shared" si="15"/>
        <v>4.982021935739965E-7</v>
      </c>
    </row>
    <row r="112" spans="57:59" x14ac:dyDescent="0.25">
      <c r="BE112" s="10">
        <f t="shared" si="16"/>
        <v>144.75</v>
      </c>
      <c r="BF112" s="10">
        <f t="shared" si="14"/>
        <v>1.4712739130628833E-2</v>
      </c>
      <c r="BG112" s="10">
        <f t="shared" si="15"/>
        <v>4.6101365307427255E-7</v>
      </c>
    </row>
    <row r="113" spans="57:59" x14ac:dyDescent="0.25">
      <c r="BE113" s="10">
        <f t="shared" si="16"/>
        <v>147</v>
      </c>
      <c r="BF113" s="10">
        <f t="shared" si="14"/>
        <v>1.4499975905184266E-2</v>
      </c>
      <c r="BG113" s="10">
        <f t="shared" si="15"/>
        <v>4.2710226393506377E-7</v>
      </c>
    </row>
    <row r="114" spans="57:59" x14ac:dyDescent="0.25">
      <c r="BE114" s="10">
        <f t="shared" si="16"/>
        <v>149.25</v>
      </c>
      <c r="BF114" s="10">
        <f t="shared" si="14"/>
        <v>1.4188449447411027E-2</v>
      </c>
      <c r="BG114" s="10">
        <f t="shared" si="15"/>
        <v>3.9613647293302777E-7</v>
      </c>
    </row>
    <row r="115" spans="57:59" x14ac:dyDescent="0.25">
      <c r="BE115" s="10">
        <f t="shared" si="16"/>
        <v>151.5</v>
      </c>
      <c r="BF115" s="10">
        <f t="shared" si="14"/>
        <v>1.3784871715252759E-2</v>
      </c>
      <c r="BG115" s="10">
        <f t="shared" si="15"/>
        <v>3.6782246145213952E-7</v>
      </c>
    </row>
    <row r="116" spans="57:59" x14ac:dyDescent="0.25">
      <c r="BE116" s="10">
        <f t="shared" si="16"/>
        <v>153.75</v>
      </c>
      <c r="BF116" s="10">
        <f t="shared" si="14"/>
        <v>1.3297772863221429E-2</v>
      </c>
      <c r="BG116" s="10">
        <f t="shared" si="15"/>
        <v>3.4189938854364445E-7</v>
      </c>
    </row>
    <row r="117" spans="57:59" x14ac:dyDescent="0.25">
      <c r="BE117" s="10">
        <f t="shared" si="16"/>
        <v>156</v>
      </c>
      <c r="BF117" s="10">
        <f t="shared" si="14"/>
        <v>1.2737193599316708E-2</v>
      </c>
      <c r="BG117" s="10">
        <f t="shared" si="15"/>
        <v>3.1813529017426806E-7</v>
      </c>
    </row>
    <row r="118" spans="57:59" x14ac:dyDescent="0.25">
      <c r="BE118" s="10">
        <f t="shared" si="16"/>
        <v>158.25</v>
      </c>
      <c r="BF118" s="10">
        <f t="shared" si="14"/>
        <v>1.211433292013208E-2</v>
      </c>
      <c r="BG118" s="10">
        <f t="shared" si="15"/>
        <v>2.9632353658272787E-7</v>
      </c>
    </row>
    <row r="119" spans="57:59" x14ac:dyDescent="0.25">
      <c r="BE119" s="10">
        <f t="shared" si="16"/>
        <v>160.5</v>
      </c>
      <c r="BF119" s="10">
        <f t="shared" si="14"/>
        <v>1.1441168866206783E-2</v>
      </c>
      <c r="BG119" s="10">
        <f t="shared" si="15"/>
        <v>2.7627976542180814E-7</v>
      </c>
    </row>
    <row r="120" spans="57:59" x14ac:dyDescent="0.25">
      <c r="BE120" s="10">
        <f t="shared" si="16"/>
        <v>162.75</v>
      </c>
      <c r="BF120" s="10">
        <f t="shared" si="14"/>
        <v>1.0730070541355453E-2</v>
      </c>
      <c r="BG120" s="10">
        <f t="shared" si="15"/>
        <v>2.5783922141771093E-7</v>
      </c>
    </row>
    <row r="121" spans="57:59" x14ac:dyDescent="0.25">
      <c r="BE121" s="10">
        <f t="shared" si="16"/>
        <v>165</v>
      </c>
      <c r="BF121" s="10">
        <f t="shared" si="14"/>
        <v>9.9934190995622854E-3</v>
      </c>
      <c r="BG121" s="10">
        <f t="shared" si="15"/>
        <v>2.408544441223229E-7</v>
      </c>
    </row>
    <row r="122" spans="57:59" x14ac:dyDescent="0.25">
      <c r="BE122" s="10">
        <f t="shared" si="16"/>
        <v>167.25</v>
      </c>
      <c r="BF122" s="10">
        <f t="shared" si="14"/>
        <v>9.243253823804436E-3</v>
      </c>
      <c r="BG122" s="10">
        <f t="shared" si="15"/>
        <v>2.2519325436483699E-7</v>
      </c>
    </row>
    <row r="123" spans="57:59" x14ac:dyDescent="0.25">
      <c r="BE123" s="10">
        <f t="shared" si="16"/>
        <v>169.5</v>
      </c>
      <c r="BF123" s="10">
        <f t="shared" si="14"/>
        <v>8.4909569795788026E-3</v>
      </c>
      <c r="BG123" s="10">
        <f t="shared" si="15"/>
        <v>2.1073699754871645E-7</v>
      </c>
    </row>
    <row r="124" spans="57:59" x14ac:dyDescent="0.25">
      <c r="BE124" s="10">
        <f t="shared" si="16"/>
        <v>171.75</v>
      </c>
      <c r="BF124" s="10">
        <f t="shared" si="14"/>
        <v>7.746988052361509E-3</v>
      </c>
      <c r="BG124" s="10">
        <f t="shared" si="15"/>
        <v>1.9737900824996454E-7</v>
      </c>
    </row>
    <row r="125" spans="57:59" x14ac:dyDescent="0.25">
      <c r="BE125" s="10">
        <f t="shared" si="16"/>
        <v>174</v>
      </c>
      <c r="BF125" s="10">
        <f t="shared" si="14"/>
        <v>7.0206745330884364E-3</v>
      </c>
      <c r="BG125" s="10">
        <f t="shared" si="15"/>
        <v>1.8502326586592582E-7</v>
      </c>
    </row>
    <row r="126" spans="57:59" x14ac:dyDescent="0.25">
      <c r="BE126" s="10">
        <f t="shared" si="16"/>
        <v>176.25</v>
      </c>
      <c r="BF126" s="10">
        <f t="shared" ref="BF126:BF161" si="17">_xlfn.GAMMA(($BF$57+1)/2)*SQRT($BF$56)/(_xlfn.GAMMA($BF$57/2)*SQRT($BF$57*PI()))*(1+$BF$56*(BE126-$BF$55)^2/$BF$57)^(-($BF$57+1)/2)</f>
        <v>6.3200628646650102E-3</v>
      </c>
      <c r="BG126" s="10">
        <f t="shared" ref="BG126:BG161" si="18">_xlfn.GAMMA(($BG$57+1)/2)*SQRT($BG$56)/(_xlfn.GAMMA($BG$57/2)*SQRT($BG$57*PI()))*(1+$BG$56*(BE126-$BG$55)^2/$BG$57)^(-($BG$57+1)/2)</f>
        <v>1.7358321551463211E-7</v>
      </c>
    </row>
    <row r="127" spans="57:59" x14ac:dyDescent="0.25">
      <c r="BE127" s="10">
        <f>BE126+$BF$50</f>
        <v>178.5</v>
      </c>
      <c r="BF127" s="10">
        <f t="shared" si="17"/>
        <v>5.6518297536016357E-3</v>
      </c>
      <c r="BG127" s="10">
        <f t="shared" si="18"/>
        <v>1.6298073213538096E-7</v>
      </c>
    </row>
    <row r="128" spans="57:59" x14ac:dyDescent="0.25">
      <c r="BE128" s="10">
        <f>BE127+$BF$50</f>
        <v>180.75</v>
      </c>
      <c r="BF128" s="10">
        <f t="shared" si="17"/>
        <v>5.0212509957575065E-3</v>
      </c>
      <c r="BG128" s="10">
        <f t="shared" si="18"/>
        <v>1.5314520890892067E-7</v>
      </c>
    </row>
    <row r="129" spans="57:59" x14ac:dyDescent="0.25">
      <c r="BE129" s="10">
        <f>BE128+$BF$50</f>
        <v>183</v>
      </c>
      <c r="BF129" s="10">
        <f t="shared" si="17"/>
        <v>4.4322224254348787E-3</v>
      </c>
      <c r="BG129" s="10">
        <f t="shared" si="18"/>
        <v>1.4401275379665057E-7</v>
      </c>
    </row>
    <row r="130" spans="57:59" x14ac:dyDescent="0.25">
      <c r="BE130" s="10">
        <f>BE129+$BF$50</f>
        <v>185.25</v>
      </c>
      <c r="BF130" s="10">
        <f t="shared" si="17"/>
        <v>3.8873256768745331E-3</v>
      </c>
      <c r="BG130" s="10">
        <f t="shared" si="18"/>
        <v>1.3552548027207885E-7</v>
      </c>
    </row>
    <row r="131" spans="57:59" x14ac:dyDescent="0.25">
      <c r="BE131" s="10">
        <f>BE130+$BF$50</f>
        <v>187.5</v>
      </c>
      <c r="BF131" s="10">
        <f t="shared" si="17"/>
        <v>3.3879301920016263E-3</v>
      </c>
      <c r="BG131" s="10">
        <f t="shared" si="18"/>
        <v>1.2763088025022695E-7</v>
      </c>
    </row>
    <row r="132" spans="57:59" x14ac:dyDescent="0.25">
      <c r="BE132" s="10">
        <f>BE131+$BF$50</f>
        <v>189.75</v>
      </c>
      <c r="BF132" s="10">
        <f t="shared" si="17"/>
        <v>2.9343223089800942E-3</v>
      </c>
      <c r="BG132" s="10">
        <f t="shared" si="18"/>
        <v>1.2028126886621839E-7</v>
      </c>
    </row>
    <row r="133" spans="57:59" x14ac:dyDescent="0.25">
      <c r="BE133" s="10">
        <f>BE132+$BF$50</f>
        <v>192</v>
      </c>
      <c r="BF133" s="10">
        <f t="shared" si="17"/>
        <v>2.5258522675559144E-3</v>
      </c>
      <c r="BG133" s="10">
        <f t="shared" si="18"/>
        <v>1.1343329215825939E-7</v>
      </c>
    </row>
    <row r="134" spans="57:59" x14ac:dyDescent="0.25">
      <c r="BE134" s="10">
        <f>BE133+$BF$50</f>
        <v>194.25</v>
      </c>
      <c r="BF134" s="10">
        <f t="shared" si="17"/>
        <v>2.1610904792914091E-3</v>
      </c>
      <c r="BG134" s="10">
        <f t="shared" si="18"/>
        <v>1.0704748991033421E-7</v>
      </c>
    </row>
    <row r="135" spans="57:59" x14ac:dyDescent="0.25">
      <c r="BE135" s="10">
        <f>BE134+$BF$50</f>
        <v>196.5</v>
      </c>
      <c r="BF135" s="10">
        <f t="shared" si="17"/>
        <v>1.8379853213327886E-3</v>
      </c>
      <c r="BG135" s="10">
        <f t="shared" si="18"/>
        <v>1.0108790693771079E-7</v>
      </c>
    </row>
    <row r="136" spans="57:59" x14ac:dyDescent="0.25">
      <c r="BE136" s="10">
        <f>BE135+$BF$50</f>
        <v>198.75</v>
      </c>
      <c r="BF136" s="10">
        <f t="shared" si="17"/>
        <v>1.5540158992572192E-3</v>
      </c>
      <c r="BG136" s="10">
        <f t="shared" si="18"/>
        <v>9.5521746980098599E-8</v>
      </c>
    </row>
    <row r="137" spans="57:59" x14ac:dyDescent="0.25">
      <c r="BE137" s="10">
        <f>BE136+$BF$50</f>
        <v>201</v>
      </c>
      <c r="BF137" s="10">
        <f t="shared" si="17"/>
        <v>1.3063345671541029E-3</v>
      </c>
      <c r="BG137" s="10">
        <f t="shared" si="18"/>
        <v>9.0319064125119442E-8</v>
      </c>
    </row>
    <row r="138" spans="57:59" x14ac:dyDescent="0.25">
      <c r="BE138" s="10">
        <f>BE137+$BF$50</f>
        <v>203.25</v>
      </c>
      <c r="BF138" s="10">
        <f t="shared" si="17"/>
        <v>1.0918953812600611E-3</v>
      </c>
      <c r="BG138" s="10">
        <f t="shared" si="18"/>
        <v>8.5452487337187031E-8</v>
      </c>
    </row>
    <row r="139" spans="57:59" x14ac:dyDescent="0.25">
      <c r="BE139" s="10">
        <f>BE138+$BF$50</f>
        <v>205.5</v>
      </c>
      <c r="BF139" s="10">
        <f t="shared" si="17"/>
        <v>9.0756600406585199E-4</v>
      </c>
      <c r="BG139" s="10">
        <f t="shared" si="18"/>
        <v>8.0896974229523547E-8</v>
      </c>
    </row>
    <row r="140" spans="57:59" x14ac:dyDescent="0.25">
      <c r="BE140" s="10">
        <f>BE139+$BF$50</f>
        <v>207.75</v>
      </c>
      <c r="BF140" s="10">
        <f t="shared" si="17"/>
        <v>7.5022179661541938E-4</v>
      </c>
      <c r="BG140" s="10">
        <f t="shared" si="18"/>
        <v>7.6629590703060163E-8</v>
      </c>
    </row>
    <row r="141" spans="57:59" x14ac:dyDescent="0.25">
      <c r="BE141" s="10">
        <f>BE140+$BF$50</f>
        <v>210</v>
      </c>
      <c r="BF141" s="10">
        <f t="shared" si="17"/>
        <v>6.1682188772270278E-4</v>
      </c>
      <c r="BG141" s="10">
        <f t="shared" si="18"/>
        <v>7.2629313496463234E-8</v>
      </c>
    </row>
    <row r="142" spans="57:59" x14ac:dyDescent="0.25">
      <c r="BE142" s="10">
        <f>BE141+$BF$50</f>
        <v>212.25</v>
      </c>
      <c r="BF142" s="10">
        <f t="shared" si="17"/>
        <v>5.0446786151914723E-4</v>
      </c>
      <c r="BG142" s="10">
        <f t="shared" si="18"/>
        <v>6.8876853055914615E-8</v>
      </c>
    </row>
    <row r="143" spans="57:59" x14ac:dyDescent="0.25">
      <c r="BE143" s="10">
        <f>BE142+$BF$50</f>
        <v>214.5</v>
      </c>
      <c r="BF143" s="10">
        <f t="shared" si="17"/>
        <v>4.1044634969401395E-4</v>
      </c>
      <c r="BG143" s="10">
        <f t="shared" si="18"/>
        <v>6.5354494449529328E-8</v>
      </c>
    </row>
    <row r="144" spans="57:59" x14ac:dyDescent="0.25">
      <c r="BE144" s="10">
        <f>BE143+$BF$50</f>
        <v>216.75</v>
      </c>
      <c r="BF144" s="10">
        <f t="shared" si="17"/>
        <v>3.3225725828345195E-4</v>
      </c>
      <c r="BG144" s="10">
        <f t="shared" si="18"/>
        <v>6.2045954326183829E-8</v>
      </c>
    </row>
    <row r="145" spans="57:59" x14ac:dyDescent="0.25">
      <c r="BE145" s="10">
        <f>BE144+$BF$50</f>
        <v>219</v>
      </c>
      <c r="BF145" s="10">
        <f t="shared" si="17"/>
        <v>2.6762961896468405E-4</v>
      </c>
      <c r="BG145" s="10">
        <f t="shared" si="18"/>
        <v>5.8936252157824168E-8</v>
      </c>
    </row>
    <row r="146" spans="57:59" x14ac:dyDescent="0.25">
      <c r="BE146" s="10">
        <f>BE145+$BF$50</f>
        <v>221.25</v>
      </c>
      <c r="BF146" s="10">
        <f t="shared" si="17"/>
        <v>2.1452715739621724E-4</v>
      </c>
      <c r="BG146" s="10">
        <f t="shared" si="18"/>
        <v>5.6011594212933431E-8</v>
      </c>
    </row>
    <row r="147" spans="57:59" x14ac:dyDescent="0.25">
      <c r="BE147" s="10">
        <f>BE146+$BF$50</f>
        <v>223.5</v>
      </c>
      <c r="BF147" s="10">
        <f t="shared" si="17"/>
        <v>1.7114564624647394E-4</v>
      </c>
      <c r="BG147" s="10">
        <f t="shared" si="18"/>
        <v>5.3259268890953326E-8</v>
      </c>
    </row>
    <row r="148" spans="57:59" x14ac:dyDescent="0.25">
      <c r="BE148" s="10">
        <f>BE147+$BF$50</f>
        <v>225.75</v>
      </c>
      <c r="BF148" s="10">
        <f t="shared" si="17"/>
        <v>1.3590398924717269E-4</v>
      </c>
      <c r="BG148" s="10">
        <f t="shared" si="18"/>
        <v>5.066755220666347E-8</v>
      </c>
    </row>
    <row r="149" spans="57:59" x14ac:dyDescent="0.25">
      <c r="BE149" s="10">
        <f>BE148+$BF$50</f>
        <v>228</v>
      </c>
      <c r="BF149" s="10">
        <f t="shared" si="17"/>
        <v>1.0743079457993807E-4</v>
      </c>
      <c r="BG149" s="10">
        <f t="shared" si="18"/>
        <v>4.8225622352901173E-8</v>
      </c>
    </row>
    <row r="150" spans="57:59" x14ac:dyDescent="0.25">
      <c r="BE150" s="10">
        <f>BE149+$BF$50</f>
        <v>230.25</v>
      </c>
      <c r="BF150" s="10">
        <f t="shared" si="17"/>
        <v>8.4547967730228256E-5</v>
      </c>
      <c r="BG150" s="10">
        <f t="shared" si="18"/>
        <v>4.5923482392172068E-8</v>
      </c>
    </row>
    <row r="151" spans="57:59" x14ac:dyDescent="0.25">
      <c r="BE151" s="10">
        <f>BE150+$BF$50</f>
        <v>232.5</v>
      </c>
      <c r="BF151" s="10">
        <f t="shared" si="17"/>
        <v>6.6252608041137543E-5</v>
      </c>
      <c r="BG151" s="10">
        <f t="shared" si="18"/>
        <v>4.3751890234942354E-8</v>
      </c>
    </row>
    <row r="152" spans="57:59" x14ac:dyDescent="0.25">
      <c r="BE152" s="10">
        <f>BE151+$BF$50</f>
        <v>234.75</v>
      </c>
      <c r="BF152" s="10">
        <f t="shared" si="17"/>
        <v>5.1698247373102226E-5</v>
      </c>
      <c r="BG152" s="10">
        <f t="shared" si="18"/>
        <v>4.1702295156644493E-8</v>
      </c>
    </row>
    <row r="153" spans="57:59" x14ac:dyDescent="0.25">
      <c r="BE153" s="10">
        <f>BE152+$BF$50</f>
        <v>237</v>
      </c>
      <c r="BF153" s="10">
        <f t="shared" si="17"/>
        <v>4.0176236714445581E-5</v>
      </c>
      <c r="BG153" s="10">
        <f t="shared" si="18"/>
        <v>3.9766780188364071E-8</v>
      </c>
    </row>
    <row r="154" spans="57:59" x14ac:dyDescent="0.25">
      <c r="BE154" s="10">
        <f>BE153+$BF$50</f>
        <v>239.25</v>
      </c>
      <c r="BF154" s="10">
        <f t="shared" si="17"/>
        <v>3.1097876215483867E-5</v>
      </c>
      <c r="BG154" s="10">
        <f t="shared" si="18"/>
        <v>3.7938009789239616E-8</v>
      </c>
    </row>
    <row r="155" spans="57:59" x14ac:dyDescent="0.25">
      <c r="BE155" s="10">
        <f>BE154+$BF$50</f>
        <v>241.5</v>
      </c>
      <c r="BF155" s="10">
        <f t="shared" si="17"/>
        <v>2.3977701155336486E-5</v>
      </c>
      <c r="BG155" s="10">
        <f t="shared" si="18"/>
        <v>3.6209182273065094E-8</v>
      </c>
    </row>
    <row r="156" spans="57:59" x14ac:dyDescent="0.25">
      <c r="BE156" s="10">
        <f>BE155+$BF$50</f>
        <v>243.75</v>
      </c>
      <c r="BF156" s="10">
        <f t="shared" si="17"/>
        <v>1.8418182986843768E-5</v>
      </c>
      <c r="BG156" s="10">
        <f t="shared" si="18"/>
        <v>3.4573986518508689E-8</v>
      </c>
    </row>
    <row r="157" spans="57:59" x14ac:dyDescent="0.25">
      <c r="BE157" s="10">
        <f>BE156+$BF$50</f>
        <v>246</v>
      </c>
      <c r="BF157" s="10">
        <f t="shared" si="17"/>
        <v>1.4095980705925306E-5</v>
      </c>
      <c r="BG157" s="10">
        <f t="shared" si="18"/>
        <v>3.3026562542693792E-8</v>
      </c>
    </row>
    <row r="158" spans="57:59" x14ac:dyDescent="0.25">
      <c r="BE158" s="10">
        <f>BE157+$BF$50</f>
        <v>248.25</v>
      </c>
      <c r="BF158" s="10">
        <f t="shared" si="17"/>
        <v>1.0749781562518927E-5</v>
      </c>
      <c r="BG158" s="10">
        <f t="shared" si="18"/>
        <v>3.1561465562444429E-8</v>
      </c>
    </row>
    <row r="159" spans="57:59" x14ac:dyDescent="0.25">
      <c r="BE159" s="10">
        <f>BE158+$BF$50</f>
        <v>250.5</v>
      </c>
      <c r="BF159" s="10">
        <f t="shared" si="17"/>
        <v>8.1696987063799113E-6</v>
      </c>
      <c r="BG159" s="10">
        <f t="shared" si="18"/>
        <v>3.017363320698307E-8</v>
      </c>
    </row>
    <row r="160" spans="57:59" x14ac:dyDescent="0.25">
      <c r="BE160" s="10">
        <f>BE159+$BF$50</f>
        <v>252.75</v>
      </c>
      <c r="BF160" s="10">
        <f t="shared" si="17"/>
        <v>6.1881432993334122E-6</v>
      </c>
      <c r="BG160" s="10">
        <f t="shared" si="18"/>
        <v>2.885835558090036E-8</v>
      </c>
    </row>
    <row r="161" spans="56:59" x14ac:dyDescent="0.25">
      <c r="BD161" s="10" t="s">
        <v>108</v>
      </c>
      <c r="BE161" s="10">
        <f>BE160+$BF$50</f>
        <v>255</v>
      </c>
      <c r="BF161" s="10">
        <f t="shared" si="17"/>
        <v>4.6720562889801581E-6</v>
      </c>
      <c r="BG161" s="10">
        <f t="shared" si="18"/>
        <v>2.7611247907329118E-8</v>
      </c>
    </row>
  </sheetData>
  <mergeCells count="5">
    <mergeCell ref="AS37:AV39"/>
    <mergeCell ref="H12:N12"/>
    <mergeCell ref="P2:AA2"/>
    <mergeCell ref="AC2:AN2"/>
    <mergeCell ref="AR2:BC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O13"/>
  <sheetViews>
    <sheetView zoomScale="85" zoomScaleNormal="85" workbookViewId="0">
      <selection activeCell="F19" sqref="F19"/>
    </sheetView>
  </sheetViews>
  <sheetFormatPr defaultRowHeight="15" x14ac:dyDescent="0.25"/>
  <cols>
    <col min="1" max="1" width="9.140625" bestFit="1" customWidth="1"/>
    <col min="2" max="3" width="12.5703125" customWidth="1"/>
    <col min="4" max="4" width="12.5703125" bestFit="1" customWidth="1"/>
    <col min="6" max="6" width="17.42578125" customWidth="1"/>
    <col min="7" max="7" width="20.5703125" customWidth="1"/>
    <col min="8" max="8" width="20" customWidth="1"/>
  </cols>
  <sheetData>
    <row r="4" spans="1:15" ht="15.75" thickBot="1" x14ac:dyDescent="0.3">
      <c r="B4" t="s">
        <v>10</v>
      </c>
      <c r="F4" t="s">
        <v>11</v>
      </c>
      <c r="J4" t="s">
        <v>12</v>
      </c>
    </row>
    <row r="5" spans="1:15" ht="15.75" thickBot="1" x14ac:dyDescent="0.3">
      <c r="B5" s="60" t="s">
        <v>31</v>
      </c>
      <c r="C5" s="61"/>
      <c r="D5" s="62"/>
      <c r="F5" s="60" t="s">
        <v>31</v>
      </c>
      <c r="G5" s="61"/>
      <c r="H5" s="62"/>
      <c r="J5" s="14" t="s">
        <v>13</v>
      </c>
      <c r="K5" s="15"/>
      <c r="L5" s="22" t="s">
        <v>14</v>
      </c>
      <c r="M5" s="15"/>
      <c r="N5" s="22" t="s">
        <v>15</v>
      </c>
      <c r="O5" s="15"/>
    </row>
    <row r="6" spans="1:15" x14ac:dyDescent="0.25">
      <c r="A6" s="1" t="s">
        <v>32</v>
      </c>
      <c r="B6" s="11" t="s">
        <v>16</v>
      </c>
      <c r="C6" s="11" t="s">
        <v>17</v>
      </c>
      <c r="D6" s="11" t="s">
        <v>18</v>
      </c>
      <c r="F6" s="11" t="s">
        <v>19</v>
      </c>
      <c r="G6" s="11" t="s">
        <v>20</v>
      </c>
      <c r="H6" s="11" t="s">
        <v>21</v>
      </c>
      <c r="J6" s="16" t="s">
        <v>22</v>
      </c>
      <c r="K6" s="17" t="s">
        <v>23</v>
      </c>
      <c r="L6" s="16" t="s">
        <v>22</v>
      </c>
      <c r="M6" s="17" t="s">
        <v>23</v>
      </c>
      <c r="N6" s="16" t="s">
        <v>22</v>
      </c>
      <c r="O6" s="17" t="s">
        <v>23</v>
      </c>
    </row>
    <row r="7" spans="1:15" x14ac:dyDescent="0.25">
      <c r="A7" t="s">
        <v>24</v>
      </c>
      <c r="B7" s="12"/>
      <c r="C7" s="12"/>
      <c r="D7" s="12"/>
      <c r="F7" s="12"/>
      <c r="G7" s="12"/>
      <c r="H7" s="12"/>
      <c r="J7" s="18"/>
      <c r="K7" s="19"/>
      <c r="L7" s="18"/>
      <c r="M7" s="19"/>
      <c r="N7" s="18"/>
      <c r="O7" s="19"/>
    </row>
    <row r="8" spans="1:15" x14ac:dyDescent="0.25">
      <c r="A8" t="s">
        <v>25</v>
      </c>
      <c r="B8" s="12"/>
      <c r="C8" s="12"/>
      <c r="D8" s="12"/>
      <c r="F8" s="12"/>
      <c r="G8" s="12"/>
      <c r="H8" s="12"/>
      <c r="J8" s="18"/>
      <c r="K8" s="19"/>
      <c r="L8" s="18"/>
      <c r="M8" s="19"/>
      <c r="N8" s="18"/>
      <c r="O8" s="19"/>
    </row>
    <row r="9" spans="1:15" x14ac:dyDescent="0.25">
      <c r="A9" t="s">
        <v>26</v>
      </c>
      <c r="B9" s="12"/>
      <c r="C9" s="12"/>
      <c r="D9" s="12"/>
      <c r="F9" s="12"/>
      <c r="G9" s="12"/>
      <c r="H9" s="12"/>
      <c r="J9" s="18"/>
      <c r="K9" s="19"/>
      <c r="L9" s="18"/>
      <c r="M9" s="19"/>
      <c r="N9" s="18"/>
      <c r="O9" s="19"/>
    </row>
    <row r="10" spans="1:15" x14ac:dyDescent="0.25">
      <c r="A10" t="s">
        <v>27</v>
      </c>
      <c r="B10" s="12"/>
      <c r="C10" s="12"/>
      <c r="D10" s="12"/>
      <c r="F10" s="12"/>
      <c r="G10" s="12"/>
      <c r="H10" s="12"/>
      <c r="J10" s="18"/>
      <c r="K10" s="19"/>
      <c r="L10" s="18"/>
      <c r="M10" s="19"/>
      <c r="N10" s="18"/>
      <c r="O10" s="19"/>
    </row>
    <row r="11" spans="1:15" x14ac:dyDescent="0.25">
      <c r="A11" t="s">
        <v>28</v>
      </c>
      <c r="B11" s="12"/>
      <c r="C11" s="12"/>
      <c r="D11" s="12"/>
      <c r="F11" s="12"/>
      <c r="G11" s="12"/>
      <c r="H11" s="12"/>
      <c r="J11" s="18"/>
      <c r="K11" s="19"/>
      <c r="L11" s="18"/>
      <c r="M11" s="19"/>
      <c r="N11" s="18"/>
      <c r="O11" s="19"/>
    </row>
    <row r="12" spans="1:15" x14ac:dyDescent="0.25">
      <c r="A12" t="s">
        <v>29</v>
      </c>
      <c r="B12" s="12"/>
      <c r="C12" s="12"/>
      <c r="D12" s="12"/>
      <c r="F12" s="12"/>
      <c r="G12" s="12"/>
      <c r="H12" s="12"/>
      <c r="J12" s="18"/>
      <c r="K12" s="19"/>
      <c r="L12" s="18"/>
      <c r="M12" s="19"/>
      <c r="N12" s="18"/>
      <c r="O12" s="19"/>
    </row>
    <row r="13" spans="1:15" ht="15.75" thickBot="1" x14ac:dyDescent="0.3">
      <c r="A13" t="s">
        <v>30</v>
      </c>
      <c r="B13" s="13"/>
      <c r="C13" s="13"/>
      <c r="D13" s="13"/>
      <c r="F13" s="13"/>
      <c r="G13" s="13"/>
      <c r="H13" s="13"/>
      <c r="J13" s="20"/>
      <c r="K13" s="21"/>
      <c r="L13" s="20"/>
      <c r="M13" s="21"/>
      <c r="N13" s="20"/>
      <c r="O13" s="21"/>
    </row>
  </sheetData>
  <mergeCells count="2">
    <mergeCell ref="B5:D5"/>
    <mergeCell ref="F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Wyniki zbiorczo</vt:lpstr>
      <vt:lpstr>Arkusz3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Kwiatkowski</dc:creator>
  <cp:lastModifiedBy>RisSetupInstall</cp:lastModifiedBy>
  <dcterms:created xsi:type="dcterms:W3CDTF">2018-12-05T19:00:02Z</dcterms:created>
  <dcterms:modified xsi:type="dcterms:W3CDTF">2024-01-21T16:44:35Z</dcterms:modified>
</cp:coreProperties>
</file>